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innas\redir$\W2K12_UserData\MSUREDA\Desktop\"/>
    </mc:Choice>
  </mc:AlternateContent>
  <bookViews>
    <workbookView xWindow="0" yWindow="0" windowWidth="7470" windowHeight="6870" tabRatio="596"/>
  </bookViews>
  <sheets>
    <sheet name="IDM 18-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37" i="1" l="1"/>
  <c r="AD37" i="1"/>
  <c r="W37" i="1"/>
  <c r="P37" i="1"/>
  <c r="I37" i="1"/>
  <c r="AJ36" i="1" l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19" i="1"/>
  <c r="AJ18" i="1"/>
  <c r="AJ17" i="1"/>
  <c r="AJ16" i="1"/>
  <c r="AJ14" i="1"/>
  <c r="AJ11" i="1"/>
  <c r="AJ10" i="1"/>
  <c r="AJ9" i="1"/>
  <c r="AJ8" i="1"/>
  <c r="AJ7" i="1"/>
  <c r="AJ6" i="1"/>
  <c r="AJ5" i="1"/>
  <c r="AJ4" i="1"/>
  <c r="AJ3" i="1"/>
  <c r="AJ37" i="1" l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4" i="1"/>
  <c r="AC11" i="1"/>
  <c r="AC10" i="1"/>
  <c r="AC9" i="1"/>
  <c r="AC8" i="1"/>
  <c r="AC7" i="1"/>
  <c r="AC6" i="1"/>
  <c r="AC5" i="1"/>
  <c r="AC4" i="1"/>
  <c r="AC3" i="1"/>
  <c r="AB3" i="1"/>
  <c r="AC37" i="1" l="1"/>
  <c r="V36" i="1"/>
  <c r="V35" i="1"/>
  <c r="V32" i="1"/>
  <c r="V31" i="1"/>
  <c r="V30" i="1"/>
  <c r="V29" i="1"/>
  <c r="V28" i="1"/>
  <c r="V27" i="1"/>
  <c r="V26" i="1"/>
  <c r="V25" i="1"/>
  <c r="V24" i="1"/>
  <c r="V23" i="1"/>
  <c r="V22" i="1"/>
  <c r="V18" i="1"/>
  <c r="V17" i="1"/>
  <c r="V16" i="1"/>
  <c r="V14" i="1"/>
  <c r="V11" i="1"/>
  <c r="V9" i="1"/>
  <c r="V8" i="1"/>
  <c r="V7" i="1"/>
  <c r="V6" i="1"/>
  <c r="V5" i="1"/>
  <c r="V4" i="1"/>
  <c r="V3" i="1"/>
  <c r="V37" i="1" l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4" i="1"/>
  <c r="O11" i="1"/>
  <c r="O10" i="1"/>
  <c r="O9" i="1"/>
  <c r="O8" i="1"/>
  <c r="O7" i="1"/>
  <c r="O6" i="1"/>
  <c r="O5" i="1"/>
  <c r="O4" i="1"/>
  <c r="O3" i="1"/>
  <c r="O37" i="1" s="1"/>
  <c r="H36" i="1" l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4" i="1"/>
  <c r="H11" i="1"/>
  <c r="H10" i="1"/>
  <c r="H9" i="1"/>
  <c r="H8" i="1"/>
  <c r="H7" i="1"/>
  <c r="H6" i="1"/>
  <c r="H5" i="1"/>
  <c r="H4" i="1"/>
  <c r="H3" i="1"/>
  <c r="H37" i="1" l="1"/>
  <c r="CF36" i="1" l="1"/>
  <c r="CF35" i="1"/>
  <c r="CF34" i="1"/>
  <c r="CF33" i="1"/>
  <c r="CF32" i="1"/>
  <c r="CF31" i="1"/>
  <c r="CF30" i="1"/>
  <c r="CF29" i="1"/>
  <c r="CF28" i="1"/>
  <c r="CF27" i="1"/>
  <c r="CF26" i="1"/>
  <c r="CF25" i="1"/>
  <c r="CF24" i="1"/>
  <c r="CF23" i="1"/>
  <c r="CF22" i="1"/>
  <c r="CF21" i="1"/>
  <c r="CF20" i="1"/>
  <c r="CF19" i="1"/>
  <c r="CF18" i="1"/>
  <c r="CF17" i="1"/>
  <c r="CF16" i="1"/>
  <c r="CF15" i="1"/>
  <c r="CF14" i="1"/>
  <c r="CF11" i="1"/>
  <c r="CF10" i="1"/>
  <c r="CF9" i="1"/>
  <c r="CF8" i="1"/>
  <c r="CF7" i="1"/>
  <c r="CF6" i="1"/>
  <c r="CF5" i="1"/>
  <c r="CF4" i="1"/>
  <c r="CF3" i="1"/>
  <c r="CF37" i="1" l="1"/>
  <c r="BY37" i="1"/>
  <c r="BR36" i="1"/>
  <c r="BR35" i="1"/>
  <c r="BR34" i="1"/>
  <c r="BR33" i="1"/>
  <c r="BR32" i="1"/>
  <c r="BR31" i="1"/>
  <c r="BR30" i="1"/>
  <c r="BR29" i="1"/>
  <c r="BR28" i="1"/>
  <c r="BR27" i="1"/>
  <c r="BR26" i="1"/>
  <c r="BR25" i="1"/>
  <c r="BR24" i="1"/>
  <c r="BR23" i="1"/>
  <c r="BR22" i="1"/>
  <c r="BR21" i="1"/>
  <c r="BR20" i="1"/>
  <c r="BR19" i="1"/>
  <c r="BR18" i="1"/>
  <c r="BR17" i="1"/>
  <c r="BR14" i="1"/>
  <c r="BR11" i="1"/>
  <c r="BR9" i="1"/>
  <c r="BR8" i="1"/>
  <c r="BR7" i="1"/>
  <c r="BR6" i="1"/>
  <c r="BR5" i="1"/>
  <c r="BR4" i="1"/>
  <c r="BR3" i="1"/>
  <c r="BR37" i="1" l="1"/>
  <c r="AN37" i="1"/>
  <c r="AG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4" i="1"/>
  <c r="BK11" i="1"/>
  <c r="BK10" i="1"/>
  <c r="BK9" i="1"/>
  <c r="BK8" i="1"/>
  <c r="BK7" i="1"/>
  <c r="BK6" i="1"/>
  <c r="BK5" i="1"/>
  <c r="BK4" i="1"/>
  <c r="BK3" i="1"/>
  <c r="BK37" i="1" l="1"/>
  <c r="BB3" i="1"/>
  <c r="BD36" i="1"/>
  <c r="BD35" i="1"/>
  <c r="BD34" i="1"/>
  <c r="BD33" i="1"/>
  <c r="BD32" i="1"/>
  <c r="BD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4" i="1"/>
  <c r="BD11" i="1"/>
  <c r="BD10" i="1"/>
  <c r="BD9" i="1"/>
  <c r="BD8" i="1"/>
  <c r="BD7" i="1"/>
  <c r="BD6" i="1"/>
  <c r="BD5" i="1"/>
  <c r="BD4" i="1"/>
  <c r="BD3" i="1"/>
  <c r="BD37" i="1" l="1"/>
  <c r="AW36" i="1"/>
  <c r="AW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4" i="1"/>
  <c r="AW13" i="1"/>
  <c r="AW12" i="1"/>
  <c r="AW11" i="1"/>
  <c r="AW10" i="1"/>
  <c r="AW9" i="1"/>
  <c r="AW8" i="1"/>
  <c r="AW7" i="1"/>
  <c r="AW6" i="1"/>
  <c r="AW5" i="1"/>
  <c r="AW4" i="1"/>
  <c r="AW3" i="1"/>
  <c r="AW37" i="1" l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4" i="1"/>
  <c r="AP13" i="1"/>
  <c r="AP12" i="1"/>
  <c r="AP7" i="1"/>
  <c r="AP6" i="1"/>
  <c r="AP5" i="1"/>
  <c r="AP4" i="1"/>
  <c r="AP3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4" i="1"/>
  <c r="AI13" i="1"/>
  <c r="AI12" i="1"/>
  <c r="AI11" i="1"/>
  <c r="AI10" i="1"/>
  <c r="AI9" i="1"/>
  <c r="AI8" i="1"/>
  <c r="AI7" i="1"/>
  <c r="AI6" i="1"/>
  <c r="AI5" i="1"/>
  <c r="AI4" i="1"/>
  <c r="AI3" i="1"/>
  <c r="AP37" i="1" l="1"/>
  <c r="AI37" i="1"/>
  <c r="AJ44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4" i="1"/>
  <c r="AB7" i="1"/>
  <c r="AB6" i="1"/>
  <c r="AB5" i="1"/>
  <c r="AB4" i="1"/>
  <c r="AB37" i="1" l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4" i="1"/>
  <c r="U13" i="1"/>
  <c r="U12" i="1"/>
  <c r="U11" i="1"/>
  <c r="U10" i="1"/>
  <c r="U9" i="1"/>
  <c r="U8" i="1"/>
  <c r="U7" i="1"/>
  <c r="U6" i="1"/>
  <c r="U5" i="1"/>
  <c r="U4" i="1"/>
  <c r="U3" i="1"/>
  <c r="U37" i="1" l="1"/>
  <c r="V44" i="1"/>
  <c r="AC44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1" i="1"/>
  <c r="N20" i="1"/>
  <c r="N19" i="1"/>
  <c r="N18" i="1"/>
  <c r="N17" i="1"/>
  <c r="N16" i="1"/>
  <c r="N14" i="1"/>
  <c r="N13" i="1"/>
  <c r="N12" i="1"/>
  <c r="N11" i="1"/>
  <c r="N10" i="1"/>
  <c r="N9" i="1"/>
  <c r="N8" i="1"/>
  <c r="N7" i="1"/>
  <c r="N6" i="1"/>
  <c r="N5" i="1"/>
  <c r="N4" i="1"/>
  <c r="N3" i="1"/>
  <c r="N37" i="1" l="1"/>
  <c r="O44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4" i="1"/>
  <c r="G13" i="1"/>
  <c r="G12" i="1"/>
  <c r="G11" i="1"/>
  <c r="G10" i="1"/>
  <c r="G9" i="1"/>
  <c r="G8" i="1"/>
  <c r="G7" i="1"/>
  <c r="G6" i="1"/>
  <c r="G5" i="1"/>
  <c r="G4" i="1"/>
  <c r="G3" i="1"/>
  <c r="G37" i="1" l="1"/>
  <c r="H44" i="1"/>
  <c r="CE36" i="1"/>
  <c r="CE35" i="1"/>
  <c r="CE34" i="1"/>
  <c r="CE33" i="1"/>
  <c r="CE32" i="1"/>
  <c r="CE31" i="1"/>
  <c r="CE30" i="1"/>
  <c r="CE29" i="1"/>
  <c r="CE28" i="1"/>
  <c r="CE27" i="1"/>
  <c r="CE26" i="1"/>
  <c r="CE25" i="1"/>
  <c r="CE24" i="1"/>
  <c r="CE23" i="1"/>
  <c r="CE22" i="1"/>
  <c r="CE21" i="1"/>
  <c r="CE20" i="1"/>
  <c r="CE19" i="1"/>
  <c r="CE18" i="1"/>
  <c r="CE17" i="1"/>
  <c r="CE16" i="1"/>
  <c r="CE15" i="1"/>
  <c r="CE14" i="1"/>
  <c r="CE13" i="1"/>
  <c r="CE12" i="1"/>
  <c r="CE11" i="1"/>
  <c r="CE10" i="1"/>
  <c r="CE9" i="1"/>
  <c r="CE8" i="1"/>
  <c r="CE7" i="1"/>
  <c r="CE6" i="1"/>
  <c r="CE5" i="1"/>
  <c r="CE4" i="1"/>
  <c r="CE3" i="1"/>
  <c r="CE37" i="1" l="1"/>
  <c r="CF42" i="1" s="1"/>
  <c r="BX36" i="1"/>
  <c r="BX35" i="1"/>
  <c r="BX34" i="1"/>
  <c r="BX33" i="1"/>
  <c r="BX32" i="1"/>
  <c r="BX31" i="1"/>
  <c r="BX30" i="1"/>
  <c r="BX29" i="1"/>
  <c r="BX28" i="1"/>
  <c r="BX27" i="1"/>
  <c r="BX26" i="1"/>
  <c r="BX23" i="1"/>
  <c r="BX22" i="1"/>
  <c r="BX21" i="1"/>
  <c r="BX20" i="1"/>
  <c r="BX19" i="1"/>
  <c r="BX18" i="1"/>
  <c r="BX17" i="1"/>
  <c r="BX16" i="1"/>
  <c r="BX13" i="1"/>
  <c r="BX12" i="1"/>
  <c r="BX9" i="1"/>
  <c r="BX8" i="1"/>
  <c r="BX4" i="1"/>
  <c r="BX3" i="1"/>
  <c r="CG37" i="1" l="1"/>
  <c r="CH37" i="1"/>
  <c r="BX37" i="1"/>
  <c r="BY42" i="1" s="1"/>
  <c r="BZ37" i="1"/>
  <c r="CA37" i="1"/>
  <c r="CG44" i="1"/>
  <c r="BZ44" i="1"/>
  <c r="BS37" i="1"/>
  <c r="BT37" i="1"/>
  <c r="BS44" i="1"/>
  <c r="BL44" i="1"/>
  <c r="BL37" i="1"/>
  <c r="BM37" i="1"/>
  <c r="BE44" i="1"/>
  <c r="BE37" i="1"/>
  <c r="BF37" i="1"/>
  <c r="AX37" i="1"/>
  <c r="AY37" i="1"/>
  <c r="AX44" i="1"/>
  <c r="AQ44" i="1"/>
  <c r="AQ37" i="1"/>
  <c r="AR37" i="1"/>
  <c r="T37" i="1"/>
  <c r="U42" i="1" s="1"/>
  <c r="BQ36" i="1" l="1"/>
  <c r="BQ35" i="1"/>
  <c r="BQ34" i="1"/>
  <c r="BQ33" i="1"/>
  <c r="BQ32" i="1"/>
  <c r="BQ31" i="1"/>
  <c r="BQ30" i="1"/>
  <c r="BQ28" i="1"/>
  <c r="BQ29" i="1"/>
  <c r="BQ27" i="1"/>
  <c r="BQ26" i="1"/>
  <c r="BQ23" i="1"/>
  <c r="BQ22" i="1"/>
  <c r="BQ21" i="1"/>
  <c r="BQ20" i="1"/>
  <c r="BQ19" i="1"/>
  <c r="BQ18" i="1"/>
  <c r="BQ17" i="1"/>
  <c r="BQ16" i="1"/>
  <c r="BQ13" i="1"/>
  <c r="BQ12" i="1"/>
  <c r="BQ9" i="1"/>
  <c r="BQ8" i="1"/>
  <c r="BQ3" i="1"/>
  <c r="BQ4" i="1"/>
  <c r="BQ37" i="1" l="1"/>
  <c r="BR42" i="1" s="1"/>
  <c r="BJ36" i="1"/>
  <c r="BJ35" i="1"/>
  <c r="BJ34" i="1"/>
  <c r="BJ33" i="1"/>
  <c r="BJ32" i="1"/>
  <c r="BJ31" i="1"/>
  <c r="BJ30" i="1"/>
  <c r="BJ28" i="1"/>
  <c r="BJ29" i="1"/>
  <c r="BJ27" i="1"/>
  <c r="BJ26" i="1"/>
  <c r="BJ23" i="1"/>
  <c r="BJ22" i="1"/>
  <c r="BJ18" i="1"/>
  <c r="BJ19" i="1"/>
  <c r="BJ17" i="1"/>
  <c r="BJ16" i="1"/>
  <c r="BJ13" i="1"/>
  <c r="BJ12" i="1"/>
  <c r="BJ9" i="1"/>
  <c r="BJ8" i="1"/>
  <c r="BJ4" i="1"/>
  <c r="BJ3" i="1"/>
  <c r="BJ37" i="1" l="1"/>
  <c r="BK42" i="1" s="1"/>
  <c r="BC36" i="1"/>
  <c r="BC35" i="1"/>
  <c r="BC34" i="1"/>
  <c r="BC33" i="1"/>
  <c r="BC32" i="1"/>
  <c r="BC31" i="1"/>
  <c r="BC30" i="1"/>
  <c r="BC29" i="1"/>
  <c r="BC28" i="1"/>
  <c r="BC27" i="1"/>
  <c r="BC26" i="1"/>
  <c r="BC23" i="1"/>
  <c r="BC22" i="1"/>
  <c r="BC21" i="1"/>
  <c r="BC20" i="1"/>
  <c r="BC19" i="1"/>
  <c r="BC18" i="1"/>
  <c r="BC17" i="1"/>
  <c r="BC16" i="1"/>
  <c r="BC13" i="1"/>
  <c r="BC12" i="1"/>
  <c r="BC9" i="1"/>
  <c r="BC8" i="1"/>
  <c r="BC4" i="1"/>
  <c r="BC3" i="1"/>
  <c r="BC37" i="1" l="1"/>
  <c r="BD42" i="1" s="1"/>
  <c r="AV36" i="1"/>
  <c r="AV35" i="1"/>
  <c r="AV34" i="1"/>
  <c r="AV33" i="1"/>
  <c r="AV32" i="1"/>
  <c r="AV31" i="1"/>
  <c r="AV30" i="1"/>
  <c r="AV29" i="1"/>
  <c r="AV28" i="1"/>
  <c r="AV27" i="1"/>
  <c r="AV26" i="1"/>
  <c r="AV23" i="1"/>
  <c r="AV22" i="1"/>
  <c r="AV21" i="1"/>
  <c r="AV20" i="1"/>
  <c r="AV19" i="1"/>
  <c r="AV18" i="1"/>
  <c r="AV17" i="1"/>
  <c r="AV16" i="1"/>
  <c r="AV13" i="1"/>
  <c r="AV12" i="1"/>
  <c r="AV9" i="1"/>
  <c r="AV8" i="1"/>
  <c r="AV4" i="1"/>
  <c r="AV3" i="1"/>
  <c r="AO3" i="1"/>
  <c r="AV37" i="1" l="1"/>
  <c r="AW42" i="1" s="1"/>
  <c r="AO36" i="1"/>
  <c r="AO35" i="1"/>
  <c r="AO34" i="1"/>
  <c r="AO33" i="1"/>
  <c r="AO32" i="1"/>
  <c r="AO31" i="1"/>
  <c r="AO30" i="1"/>
  <c r="AO28" i="1"/>
  <c r="AO29" i="1"/>
  <c r="AO27" i="1"/>
  <c r="AO26" i="1"/>
  <c r="AO23" i="1"/>
  <c r="AO22" i="1"/>
  <c r="AO21" i="1"/>
  <c r="AO20" i="1"/>
  <c r="AO19" i="1"/>
  <c r="AO18" i="1"/>
  <c r="AO17" i="1"/>
  <c r="AO16" i="1"/>
  <c r="AO13" i="1"/>
  <c r="AO12" i="1"/>
  <c r="AO9" i="1"/>
  <c r="AO8" i="1"/>
  <c r="AO4" i="1"/>
  <c r="AO37" i="1" l="1"/>
  <c r="AP42" i="1" s="1"/>
  <c r="AH36" i="1"/>
  <c r="AH35" i="1"/>
  <c r="AH34" i="1"/>
  <c r="AH33" i="1"/>
  <c r="AH32" i="1"/>
  <c r="AH31" i="1"/>
  <c r="AH30" i="1"/>
  <c r="AH29" i="1"/>
  <c r="AH28" i="1"/>
  <c r="AH27" i="1"/>
  <c r="AH26" i="1"/>
  <c r="AH23" i="1"/>
  <c r="AH22" i="1"/>
  <c r="AH21" i="1"/>
  <c r="AH20" i="1"/>
  <c r="AH19" i="1"/>
  <c r="AH18" i="1"/>
  <c r="AH17" i="1"/>
  <c r="AH16" i="1"/>
  <c r="AH13" i="1"/>
  <c r="AH12" i="1"/>
  <c r="AH9" i="1"/>
  <c r="AH8" i="1"/>
  <c r="AH4" i="1"/>
  <c r="AH3" i="1"/>
  <c r="AH37" i="1" l="1"/>
  <c r="AI42" i="1" s="1"/>
  <c r="AA36" i="1"/>
  <c r="AA35" i="1"/>
  <c r="AA34" i="1"/>
  <c r="AA33" i="1"/>
  <c r="AA32" i="1"/>
  <c r="AA31" i="1"/>
  <c r="AA30" i="1"/>
  <c r="AA29" i="1"/>
  <c r="AA28" i="1"/>
  <c r="AA27" i="1"/>
  <c r="AA26" i="1"/>
  <c r="AA23" i="1"/>
  <c r="AA22" i="1"/>
  <c r="AA21" i="1"/>
  <c r="AA20" i="1"/>
  <c r="AA19" i="1"/>
  <c r="AA18" i="1"/>
  <c r="AA17" i="1"/>
  <c r="AA16" i="1"/>
  <c r="AA13" i="1"/>
  <c r="AA12" i="1"/>
  <c r="AA9" i="1"/>
  <c r="AA8" i="1"/>
  <c r="AA4" i="1"/>
  <c r="AA3" i="1"/>
  <c r="AA37" i="1" l="1"/>
  <c r="AB42" i="1" s="1"/>
  <c r="M36" i="1"/>
  <c r="M35" i="1"/>
  <c r="M34" i="1"/>
  <c r="M33" i="1"/>
  <c r="M32" i="1"/>
  <c r="M31" i="1"/>
  <c r="M30" i="1"/>
  <c r="M29" i="1"/>
  <c r="M28" i="1"/>
  <c r="M27" i="1"/>
  <c r="M26" i="1"/>
  <c r="M23" i="1"/>
  <c r="M22" i="1"/>
  <c r="M21" i="1"/>
  <c r="M20" i="1"/>
  <c r="M19" i="1"/>
  <c r="M18" i="1"/>
  <c r="M17" i="1"/>
  <c r="M16" i="1"/>
  <c r="M13" i="1"/>
  <c r="M12" i="1"/>
  <c r="M9" i="1"/>
  <c r="M8" i="1"/>
  <c r="M4" i="1"/>
  <c r="M3" i="1"/>
  <c r="M37" i="1" l="1"/>
  <c r="N42" i="1" s="1"/>
  <c r="F36" i="1"/>
  <c r="F35" i="1"/>
  <c r="F34" i="1"/>
  <c r="F33" i="1"/>
  <c r="F32" i="1"/>
  <c r="F31" i="1"/>
  <c r="F30" i="1"/>
  <c r="F29" i="1"/>
  <c r="F28" i="1"/>
  <c r="F27" i="1"/>
  <c r="F26" i="1"/>
  <c r="F23" i="1"/>
  <c r="F22" i="1"/>
  <c r="F21" i="1"/>
  <c r="F20" i="1"/>
  <c r="F18" i="1"/>
  <c r="F19" i="1"/>
  <c r="F17" i="1"/>
  <c r="F16" i="1"/>
  <c r="F13" i="1"/>
  <c r="F12" i="1"/>
  <c r="F9" i="1"/>
  <c r="F8" i="1"/>
  <c r="F4" i="1"/>
  <c r="F3" i="1"/>
  <c r="F37" i="1" l="1"/>
  <c r="G42" i="1" s="1"/>
  <c r="CD36" i="1"/>
  <c r="CD35" i="1"/>
  <c r="CD34" i="1"/>
  <c r="CD33" i="1"/>
  <c r="CD32" i="1"/>
  <c r="CD31" i="1"/>
  <c r="CD30" i="1"/>
  <c r="CD29" i="1"/>
  <c r="CD28" i="1"/>
  <c r="CD27" i="1"/>
  <c r="CD26" i="1"/>
  <c r="CD23" i="1"/>
  <c r="CD22" i="1"/>
  <c r="CD21" i="1"/>
  <c r="CD20" i="1"/>
  <c r="CD19" i="1"/>
  <c r="CD18" i="1"/>
  <c r="CD17" i="1"/>
  <c r="CD16" i="1"/>
  <c r="CD9" i="1"/>
  <c r="CD8" i="1"/>
  <c r="CD4" i="1"/>
  <c r="CD3" i="1"/>
  <c r="CD12" i="1"/>
  <c r="CD13" i="1"/>
  <c r="BW36" i="1" l="1"/>
  <c r="BW35" i="1"/>
  <c r="BW34" i="1"/>
  <c r="BW33" i="1"/>
  <c r="BW31" i="1"/>
  <c r="BW30" i="1"/>
  <c r="BW29" i="1"/>
  <c r="BW28" i="1"/>
  <c r="BW27" i="1"/>
  <c r="BW26" i="1"/>
  <c r="BW23" i="1"/>
  <c r="BW22" i="1"/>
  <c r="BW21" i="1"/>
  <c r="BW20" i="1"/>
  <c r="BW19" i="1"/>
  <c r="BW18" i="1"/>
  <c r="BW17" i="1"/>
  <c r="BW16" i="1"/>
  <c r="BW13" i="1"/>
  <c r="BW12" i="1"/>
  <c r="BW9" i="1"/>
  <c r="BW8" i="1"/>
  <c r="BW4" i="1"/>
  <c r="BW3" i="1"/>
  <c r="BW32" i="1"/>
  <c r="CD37" i="1" l="1"/>
  <c r="BW37" i="1"/>
  <c r="Z37" i="1"/>
  <c r="CC36" i="1"/>
  <c r="CB36" i="1"/>
  <c r="BV36" i="1"/>
  <c r="BU36" i="1"/>
  <c r="BP36" i="1"/>
  <c r="BO36" i="1"/>
  <c r="BN36" i="1"/>
  <c r="BI36" i="1"/>
  <c r="BH36" i="1"/>
  <c r="BB36" i="1"/>
  <c r="BA36" i="1"/>
  <c r="AZ36" i="1"/>
  <c r="AU36" i="1"/>
  <c r="AT36" i="1"/>
  <c r="AS36" i="1"/>
  <c r="AM36" i="1"/>
  <c r="AL36" i="1"/>
  <c r="AF36" i="1"/>
  <c r="AE36" i="1"/>
  <c r="Y36" i="1"/>
  <c r="X36" i="1"/>
  <c r="S36" i="1"/>
  <c r="R36" i="1"/>
  <c r="Q36" i="1"/>
  <c r="L36" i="1"/>
  <c r="K36" i="1"/>
  <c r="J36" i="1"/>
  <c r="E36" i="1"/>
  <c r="D36" i="1"/>
  <c r="C36" i="1"/>
  <c r="CC35" i="1"/>
  <c r="CB35" i="1"/>
  <c r="BV35" i="1"/>
  <c r="BU35" i="1"/>
  <c r="BP35" i="1"/>
  <c r="BO35" i="1"/>
  <c r="BN35" i="1"/>
  <c r="BI35" i="1"/>
  <c r="BH35" i="1"/>
  <c r="BB35" i="1"/>
  <c r="BA35" i="1"/>
  <c r="AZ35" i="1"/>
  <c r="AU35" i="1"/>
  <c r="AT35" i="1"/>
  <c r="AS35" i="1"/>
  <c r="AM35" i="1"/>
  <c r="AL35" i="1"/>
  <c r="AF35" i="1"/>
  <c r="AE35" i="1"/>
  <c r="Y35" i="1"/>
  <c r="X35" i="1"/>
  <c r="S35" i="1"/>
  <c r="R35" i="1"/>
  <c r="Q35" i="1"/>
  <c r="L35" i="1"/>
  <c r="K35" i="1"/>
  <c r="J35" i="1"/>
  <c r="E35" i="1"/>
  <c r="D35" i="1"/>
  <c r="C35" i="1"/>
  <c r="CC34" i="1"/>
  <c r="CB34" i="1"/>
  <c r="BV34" i="1"/>
  <c r="BU34" i="1"/>
  <c r="BP34" i="1"/>
  <c r="BO34" i="1"/>
  <c r="BN34" i="1"/>
  <c r="BI34" i="1"/>
  <c r="BH34" i="1"/>
  <c r="BB34" i="1"/>
  <c r="BA34" i="1"/>
  <c r="AZ34" i="1"/>
  <c r="AU34" i="1"/>
  <c r="AT34" i="1"/>
  <c r="AS34" i="1"/>
  <c r="AM34" i="1"/>
  <c r="AL34" i="1"/>
  <c r="AF34" i="1"/>
  <c r="AE34" i="1"/>
  <c r="Y34" i="1"/>
  <c r="X34" i="1"/>
  <c r="S34" i="1"/>
  <c r="R34" i="1"/>
  <c r="Q34" i="1"/>
  <c r="L34" i="1"/>
  <c r="K34" i="1"/>
  <c r="J34" i="1"/>
  <c r="E34" i="1"/>
  <c r="D34" i="1"/>
  <c r="C34" i="1"/>
  <c r="CC33" i="1"/>
  <c r="CB33" i="1"/>
  <c r="BV33" i="1"/>
  <c r="BU33" i="1"/>
  <c r="BP33" i="1"/>
  <c r="BO33" i="1"/>
  <c r="BN33" i="1"/>
  <c r="BI33" i="1"/>
  <c r="BH33" i="1"/>
  <c r="BB33" i="1"/>
  <c r="BA33" i="1"/>
  <c r="AZ33" i="1"/>
  <c r="AU33" i="1"/>
  <c r="AT33" i="1"/>
  <c r="AS33" i="1"/>
  <c r="AM33" i="1"/>
  <c r="AL33" i="1"/>
  <c r="AF33" i="1"/>
  <c r="AE33" i="1"/>
  <c r="Y33" i="1"/>
  <c r="X33" i="1"/>
  <c r="S33" i="1"/>
  <c r="R33" i="1"/>
  <c r="Q33" i="1"/>
  <c r="L33" i="1"/>
  <c r="K33" i="1"/>
  <c r="J33" i="1"/>
  <c r="E33" i="1"/>
  <c r="D33" i="1"/>
  <c r="C33" i="1"/>
  <c r="CC32" i="1"/>
  <c r="CB32" i="1"/>
  <c r="BV32" i="1"/>
  <c r="BU32" i="1"/>
  <c r="BP32" i="1"/>
  <c r="BO32" i="1"/>
  <c r="BN32" i="1"/>
  <c r="BI32" i="1"/>
  <c r="BH32" i="1"/>
  <c r="BB32" i="1"/>
  <c r="BA32" i="1"/>
  <c r="AZ32" i="1"/>
  <c r="AU32" i="1"/>
  <c r="AT32" i="1"/>
  <c r="AS32" i="1"/>
  <c r="AM32" i="1"/>
  <c r="AL32" i="1"/>
  <c r="AF32" i="1"/>
  <c r="AE32" i="1"/>
  <c r="Y32" i="1"/>
  <c r="X32" i="1"/>
  <c r="S32" i="1"/>
  <c r="R32" i="1"/>
  <c r="Q32" i="1"/>
  <c r="L32" i="1"/>
  <c r="K32" i="1"/>
  <c r="J32" i="1"/>
  <c r="E32" i="1"/>
  <c r="D32" i="1"/>
  <c r="C32" i="1"/>
  <c r="CC31" i="1"/>
  <c r="CB31" i="1"/>
  <c r="BV31" i="1"/>
  <c r="BU31" i="1"/>
  <c r="BP31" i="1"/>
  <c r="BO31" i="1"/>
  <c r="BN31" i="1"/>
  <c r="BI31" i="1"/>
  <c r="BH31" i="1"/>
  <c r="BB31" i="1"/>
  <c r="BA31" i="1"/>
  <c r="AZ31" i="1"/>
  <c r="AU31" i="1"/>
  <c r="AT31" i="1"/>
  <c r="AS31" i="1"/>
  <c r="AM31" i="1"/>
  <c r="AL31" i="1"/>
  <c r="AF31" i="1"/>
  <c r="AE31" i="1"/>
  <c r="Y31" i="1"/>
  <c r="X31" i="1"/>
  <c r="S31" i="1"/>
  <c r="R31" i="1"/>
  <c r="Q31" i="1"/>
  <c r="L31" i="1"/>
  <c r="K31" i="1"/>
  <c r="J31" i="1"/>
  <c r="E31" i="1"/>
  <c r="D31" i="1"/>
  <c r="C31" i="1"/>
  <c r="CC30" i="1"/>
  <c r="CB30" i="1"/>
  <c r="BV30" i="1"/>
  <c r="BU30" i="1"/>
  <c r="BP30" i="1"/>
  <c r="BO30" i="1"/>
  <c r="BN30" i="1"/>
  <c r="BI30" i="1"/>
  <c r="BH30" i="1"/>
  <c r="BB30" i="1"/>
  <c r="BA30" i="1"/>
  <c r="AZ30" i="1"/>
  <c r="AU30" i="1"/>
  <c r="AT30" i="1"/>
  <c r="AS30" i="1"/>
  <c r="AM30" i="1"/>
  <c r="AL30" i="1"/>
  <c r="AF30" i="1"/>
  <c r="AE30" i="1"/>
  <c r="Y30" i="1"/>
  <c r="X30" i="1"/>
  <c r="S30" i="1"/>
  <c r="R30" i="1"/>
  <c r="Q30" i="1"/>
  <c r="L30" i="1"/>
  <c r="K30" i="1"/>
  <c r="J30" i="1"/>
  <c r="E30" i="1"/>
  <c r="D30" i="1"/>
  <c r="C30" i="1"/>
  <c r="CC29" i="1"/>
  <c r="CB29" i="1"/>
  <c r="BV29" i="1"/>
  <c r="BU29" i="1"/>
  <c r="BP29" i="1"/>
  <c r="BO29" i="1"/>
  <c r="BN29" i="1"/>
  <c r="BI29" i="1"/>
  <c r="BH29" i="1"/>
  <c r="BB29" i="1"/>
  <c r="BA29" i="1"/>
  <c r="AZ29" i="1"/>
  <c r="AU29" i="1"/>
  <c r="AT29" i="1"/>
  <c r="AS29" i="1"/>
  <c r="AM29" i="1"/>
  <c r="AL29" i="1"/>
  <c r="AF29" i="1"/>
  <c r="AE29" i="1"/>
  <c r="Y29" i="1"/>
  <c r="X29" i="1"/>
  <c r="S29" i="1"/>
  <c r="R29" i="1"/>
  <c r="Q29" i="1"/>
  <c r="L29" i="1"/>
  <c r="K29" i="1"/>
  <c r="J29" i="1"/>
  <c r="E29" i="1"/>
  <c r="D29" i="1"/>
  <c r="C29" i="1"/>
  <c r="CC28" i="1"/>
  <c r="CB28" i="1"/>
  <c r="BV28" i="1"/>
  <c r="BU28" i="1"/>
  <c r="BP28" i="1"/>
  <c r="BO28" i="1"/>
  <c r="BN28" i="1"/>
  <c r="BI28" i="1"/>
  <c r="BH28" i="1"/>
  <c r="BB28" i="1"/>
  <c r="BA28" i="1"/>
  <c r="AZ28" i="1"/>
  <c r="AU28" i="1"/>
  <c r="AT28" i="1"/>
  <c r="AS28" i="1"/>
  <c r="AM28" i="1"/>
  <c r="AL28" i="1"/>
  <c r="AF28" i="1"/>
  <c r="AE28" i="1"/>
  <c r="Y28" i="1"/>
  <c r="X28" i="1"/>
  <c r="S28" i="1"/>
  <c r="R28" i="1"/>
  <c r="Q28" i="1"/>
  <c r="L28" i="1"/>
  <c r="K28" i="1"/>
  <c r="J28" i="1"/>
  <c r="E28" i="1"/>
  <c r="D28" i="1"/>
  <c r="C28" i="1"/>
  <c r="CC27" i="1"/>
  <c r="CB27" i="1"/>
  <c r="BV27" i="1"/>
  <c r="BP27" i="1"/>
  <c r="BO27" i="1"/>
  <c r="BN27" i="1"/>
  <c r="BI27" i="1"/>
  <c r="BH27" i="1"/>
  <c r="BB27" i="1"/>
  <c r="BA27" i="1"/>
  <c r="AZ27" i="1"/>
  <c r="AU27" i="1"/>
  <c r="AT27" i="1"/>
  <c r="AS27" i="1"/>
  <c r="AM27" i="1"/>
  <c r="AL27" i="1"/>
  <c r="AF27" i="1"/>
  <c r="AE27" i="1"/>
  <c r="Y27" i="1"/>
  <c r="X27" i="1"/>
  <c r="S27" i="1"/>
  <c r="R27" i="1"/>
  <c r="Q27" i="1"/>
  <c r="L27" i="1"/>
  <c r="K27" i="1"/>
  <c r="J27" i="1"/>
  <c r="E27" i="1"/>
  <c r="D27" i="1"/>
  <c r="C27" i="1"/>
  <c r="CC26" i="1"/>
  <c r="CB26" i="1"/>
  <c r="BV26" i="1"/>
  <c r="BP26" i="1"/>
  <c r="BO26" i="1"/>
  <c r="BN26" i="1"/>
  <c r="BI26" i="1"/>
  <c r="BH26" i="1"/>
  <c r="BB26" i="1"/>
  <c r="BA26" i="1"/>
  <c r="AZ26" i="1"/>
  <c r="AU26" i="1"/>
  <c r="AT26" i="1"/>
  <c r="AS26" i="1"/>
  <c r="AM26" i="1"/>
  <c r="AL26" i="1"/>
  <c r="AF26" i="1"/>
  <c r="AE26" i="1"/>
  <c r="Y26" i="1"/>
  <c r="X26" i="1"/>
  <c r="S26" i="1"/>
  <c r="R26" i="1"/>
  <c r="Q26" i="1"/>
  <c r="L26" i="1"/>
  <c r="K26" i="1"/>
  <c r="J26" i="1"/>
  <c r="E26" i="1"/>
  <c r="D26" i="1"/>
  <c r="C26" i="1"/>
  <c r="CC23" i="1"/>
  <c r="CB23" i="1"/>
  <c r="BV23" i="1"/>
  <c r="BU23" i="1"/>
  <c r="BP23" i="1"/>
  <c r="BO23" i="1"/>
  <c r="BN23" i="1"/>
  <c r="BI23" i="1"/>
  <c r="BH23" i="1"/>
  <c r="BB23" i="1"/>
  <c r="BA23" i="1"/>
  <c r="AZ23" i="1"/>
  <c r="AU23" i="1"/>
  <c r="AT23" i="1"/>
  <c r="AS23" i="1"/>
  <c r="AM23" i="1"/>
  <c r="AL23" i="1"/>
  <c r="AF23" i="1"/>
  <c r="AE23" i="1"/>
  <c r="Y23" i="1"/>
  <c r="X23" i="1"/>
  <c r="S23" i="1"/>
  <c r="R23" i="1"/>
  <c r="L23" i="1"/>
  <c r="K23" i="1"/>
  <c r="E23" i="1"/>
  <c r="D23" i="1"/>
  <c r="CC22" i="1"/>
  <c r="CB22" i="1"/>
  <c r="BV22" i="1"/>
  <c r="BU22" i="1"/>
  <c r="BP22" i="1"/>
  <c r="BO22" i="1"/>
  <c r="BN22" i="1"/>
  <c r="BI22" i="1"/>
  <c r="BH22" i="1"/>
  <c r="BB22" i="1"/>
  <c r="BA22" i="1"/>
  <c r="AZ22" i="1"/>
  <c r="AU22" i="1"/>
  <c r="AT22" i="1"/>
  <c r="AS22" i="1"/>
  <c r="AM22" i="1"/>
  <c r="AL22" i="1"/>
  <c r="AF22" i="1"/>
  <c r="AE22" i="1"/>
  <c r="Y22" i="1"/>
  <c r="X22" i="1"/>
  <c r="S22" i="1"/>
  <c r="R22" i="1"/>
  <c r="Q22" i="1"/>
  <c r="L22" i="1"/>
  <c r="K22" i="1"/>
  <c r="J22" i="1"/>
  <c r="E22" i="1"/>
  <c r="D22" i="1"/>
  <c r="C22" i="1"/>
  <c r="CC21" i="1"/>
  <c r="CB21" i="1"/>
  <c r="BV21" i="1"/>
  <c r="BU21" i="1"/>
  <c r="BO21" i="1"/>
  <c r="BN21" i="1"/>
  <c r="BH21" i="1"/>
  <c r="BA21" i="1"/>
  <c r="AZ21" i="1"/>
  <c r="AU21" i="1"/>
  <c r="AT21" i="1"/>
  <c r="AS21" i="1"/>
  <c r="AM21" i="1"/>
  <c r="AL21" i="1"/>
  <c r="AE21" i="1"/>
  <c r="X21" i="1"/>
  <c r="S21" i="1"/>
  <c r="Q21" i="1"/>
  <c r="L21" i="1"/>
  <c r="J21" i="1"/>
  <c r="E21" i="1"/>
  <c r="D21" i="1"/>
  <c r="C21" i="1"/>
  <c r="CC20" i="1"/>
  <c r="CB20" i="1"/>
  <c r="BV20" i="1"/>
  <c r="BU20" i="1"/>
  <c r="BO20" i="1"/>
  <c r="BN20" i="1"/>
  <c r="BH20" i="1"/>
  <c r="BA20" i="1"/>
  <c r="AZ20" i="1"/>
  <c r="AU20" i="1"/>
  <c r="AT20" i="1"/>
  <c r="AS20" i="1"/>
  <c r="AM20" i="1"/>
  <c r="AL20" i="1"/>
  <c r="AE20" i="1"/>
  <c r="X20" i="1"/>
  <c r="S20" i="1"/>
  <c r="Q20" i="1"/>
  <c r="L20" i="1"/>
  <c r="J20" i="1"/>
  <c r="E20" i="1"/>
  <c r="D20" i="1"/>
  <c r="C20" i="1"/>
  <c r="CC19" i="1"/>
  <c r="CB19" i="1"/>
  <c r="BV19" i="1"/>
  <c r="BU19" i="1"/>
  <c r="BP19" i="1"/>
  <c r="BO19" i="1"/>
  <c r="BN19" i="1"/>
  <c r="BI19" i="1"/>
  <c r="BH19" i="1"/>
  <c r="BB19" i="1"/>
  <c r="BA19" i="1"/>
  <c r="AZ19" i="1"/>
  <c r="AU19" i="1"/>
  <c r="AT19" i="1"/>
  <c r="AS19" i="1"/>
  <c r="AM19" i="1"/>
  <c r="AL19" i="1"/>
  <c r="AF19" i="1"/>
  <c r="AE19" i="1"/>
  <c r="Y19" i="1"/>
  <c r="X19" i="1"/>
  <c r="S19" i="1"/>
  <c r="R19" i="1"/>
  <c r="Q19" i="1"/>
  <c r="L19" i="1"/>
  <c r="K19" i="1"/>
  <c r="J19" i="1"/>
  <c r="E19" i="1"/>
  <c r="D19" i="1"/>
  <c r="C19" i="1"/>
  <c r="CC18" i="1"/>
  <c r="CB18" i="1"/>
  <c r="BV18" i="1"/>
  <c r="BU18" i="1"/>
  <c r="BP18" i="1"/>
  <c r="BO18" i="1"/>
  <c r="BN18" i="1"/>
  <c r="BI18" i="1"/>
  <c r="BH18" i="1"/>
  <c r="BB18" i="1"/>
  <c r="BA18" i="1"/>
  <c r="AZ18" i="1"/>
  <c r="AU18" i="1"/>
  <c r="AT18" i="1"/>
  <c r="AS18" i="1"/>
  <c r="AM18" i="1"/>
  <c r="AL18" i="1"/>
  <c r="AF18" i="1"/>
  <c r="AE18" i="1"/>
  <c r="Y18" i="1"/>
  <c r="X18" i="1"/>
  <c r="S18" i="1"/>
  <c r="R18" i="1"/>
  <c r="Q18" i="1"/>
  <c r="L18" i="1"/>
  <c r="K18" i="1"/>
  <c r="J18" i="1"/>
  <c r="E18" i="1"/>
  <c r="D18" i="1"/>
  <c r="C18" i="1"/>
  <c r="CC17" i="1"/>
  <c r="CB17" i="1"/>
  <c r="BV17" i="1"/>
  <c r="BU17" i="1"/>
  <c r="BP17" i="1"/>
  <c r="BO17" i="1"/>
  <c r="BN17" i="1"/>
  <c r="BI17" i="1"/>
  <c r="BH17" i="1"/>
  <c r="BB17" i="1"/>
  <c r="BA17" i="1"/>
  <c r="AZ17" i="1"/>
  <c r="AU17" i="1"/>
  <c r="AT17" i="1"/>
  <c r="AS17" i="1"/>
  <c r="AM17" i="1"/>
  <c r="AL17" i="1"/>
  <c r="AF17" i="1"/>
  <c r="AE17" i="1"/>
  <c r="Y17" i="1"/>
  <c r="X17" i="1"/>
  <c r="S17" i="1"/>
  <c r="R17" i="1"/>
  <c r="Q17" i="1"/>
  <c r="L17" i="1"/>
  <c r="K17" i="1"/>
  <c r="J17" i="1"/>
  <c r="E17" i="1"/>
  <c r="D17" i="1"/>
  <c r="C17" i="1"/>
  <c r="CC16" i="1"/>
  <c r="CB16" i="1"/>
  <c r="BV16" i="1"/>
  <c r="BU16" i="1"/>
  <c r="BP16" i="1"/>
  <c r="BO16" i="1"/>
  <c r="BN16" i="1"/>
  <c r="BI16" i="1"/>
  <c r="BH16" i="1"/>
  <c r="BB16" i="1"/>
  <c r="BA16" i="1"/>
  <c r="AZ16" i="1"/>
  <c r="AU16" i="1"/>
  <c r="AT16" i="1"/>
  <c r="AS16" i="1"/>
  <c r="AM16" i="1"/>
  <c r="AL16" i="1"/>
  <c r="AF16" i="1"/>
  <c r="AE16" i="1"/>
  <c r="Y16" i="1"/>
  <c r="X16" i="1"/>
  <c r="S16" i="1"/>
  <c r="R16" i="1"/>
  <c r="Q16" i="1"/>
  <c r="L16" i="1"/>
  <c r="K16" i="1"/>
  <c r="J16" i="1"/>
  <c r="E16" i="1"/>
  <c r="D16" i="1"/>
  <c r="C16" i="1"/>
  <c r="CC13" i="1"/>
  <c r="CB13" i="1"/>
  <c r="BV13" i="1"/>
  <c r="BU13" i="1"/>
  <c r="BP13" i="1"/>
  <c r="BO13" i="1"/>
  <c r="BN13" i="1"/>
  <c r="BI13" i="1"/>
  <c r="BH13" i="1"/>
  <c r="BB13" i="1"/>
  <c r="BA13" i="1"/>
  <c r="AZ13" i="1"/>
  <c r="AT13" i="1"/>
  <c r="AS13" i="1"/>
  <c r="AM13" i="1"/>
  <c r="AL13" i="1"/>
  <c r="AF13" i="1"/>
  <c r="AE13" i="1"/>
  <c r="Y13" i="1"/>
  <c r="X13" i="1"/>
  <c r="S13" i="1"/>
  <c r="R13" i="1"/>
  <c r="Q13" i="1"/>
  <c r="L13" i="1"/>
  <c r="K13" i="1"/>
  <c r="J13" i="1"/>
  <c r="E13" i="1"/>
  <c r="D13" i="1"/>
  <c r="C13" i="1"/>
  <c r="CC12" i="1"/>
  <c r="CB12" i="1"/>
  <c r="BV12" i="1"/>
  <c r="BU12" i="1"/>
  <c r="BP12" i="1"/>
  <c r="BO12" i="1"/>
  <c r="BN12" i="1"/>
  <c r="BI12" i="1"/>
  <c r="BH12" i="1"/>
  <c r="BB12" i="1"/>
  <c r="BA12" i="1"/>
  <c r="AZ12" i="1"/>
  <c r="AT12" i="1"/>
  <c r="AS12" i="1"/>
  <c r="AM12" i="1"/>
  <c r="AL12" i="1"/>
  <c r="AF12" i="1"/>
  <c r="AE12" i="1"/>
  <c r="Y12" i="1"/>
  <c r="X12" i="1"/>
  <c r="S12" i="1"/>
  <c r="R12" i="1"/>
  <c r="Q12" i="1"/>
  <c r="L12" i="1"/>
  <c r="K12" i="1"/>
  <c r="J12" i="1"/>
  <c r="E12" i="1"/>
  <c r="D12" i="1"/>
  <c r="C12" i="1"/>
  <c r="CC9" i="1"/>
  <c r="CB9" i="1"/>
  <c r="BV9" i="1"/>
  <c r="BU9" i="1"/>
  <c r="BP9" i="1"/>
  <c r="BO9" i="1"/>
  <c r="BN9" i="1"/>
  <c r="BI9" i="1"/>
  <c r="BH9" i="1"/>
  <c r="BA9" i="1"/>
  <c r="AZ9" i="1"/>
  <c r="AT9" i="1"/>
  <c r="AS9" i="1"/>
  <c r="AM9" i="1"/>
  <c r="AL9" i="1"/>
  <c r="AF9" i="1"/>
  <c r="AE9" i="1"/>
  <c r="Y9" i="1"/>
  <c r="X9" i="1"/>
  <c r="S9" i="1"/>
  <c r="R9" i="1"/>
  <c r="Q9" i="1"/>
  <c r="L9" i="1"/>
  <c r="K9" i="1"/>
  <c r="J9" i="1"/>
  <c r="E9" i="1"/>
  <c r="D9" i="1"/>
  <c r="C9" i="1"/>
  <c r="CC8" i="1"/>
  <c r="CB8" i="1"/>
  <c r="BV8" i="1"/>
  <c r="BU8" i="1"/>
  <c r="BP8" i="1"/>
  <c r="BO8" i="1"/>
  <c r="BN8" i="1"/>
  <c r="BI8" i="1"/>
  <c r="BH8" i="1"/>
  <c r="BA8" i="1"/>
  <c r="AZ8" i="1"/>
  <c r="AT8" i="1"/>
  <c r="AS8" i="1"/>
  <c r="AM8" i="1"/>
  <c r="AL8" i="1"/>
  <c r="AL37" i="1" s="1"/>
  <c r="AF8" i="1"/>
  <c r="AE8" i="1"/>
  <c r="Y8" i="1"/>
  <c r="X8" i="1"/>
  <c r="X37" i="1" s="1"/>
  <c r="S8" i="1"/>
  <c r="R8" i="1"/>
  <c r="Q8" i="1"/>
  <c r="L8" i="1"/>
  <c r="K8" i="1"/>
  <c r="J8" i="1"/>
  <c r="E8" i="1"/>
  <c r="D8" i="1"/>
  <c r="C8" i="1"/>
  <c r="CC4" i="1"/>
  <c r="CB4" i="1"/>
  <c r="BV4" i="1"/>
  <c r="BU4" i="1"/>
  <c r="BP4" i="1"/>
  <c r="BO4" i="1"/>
  <c r="BN4" i="1"/>
  <c r="BI4" i="1"/>
  <c r="BH4" i="1"/>
  <c r="BG4" i="1"/>
  <c r="BB4" i="1"/>
  <c r="BB37" i="1" s="1"/>
  <c r="BA4" i="1"/>
  <c r="AZ4" i="1"/>
  <c r="AU4" i="1"/>
  <c r="AT4" i="1"/>
  <c r="AM4" i="1"/>
  <c r="AF4" i="1"/>
  <c r="Y4" i="1"/>
  <c r="S4" i="1"/>
  <c r="R4" i="1"/>
  <c r="L4" i="1"/>
  <c r="K4" i="1"/>
  <c r="E4" i="1"/>
  <c r="D4" i="1"/>
  <c r="CC3" i="1"/>
  <c r="CB3" i="1"/>
  <c r="BV3" i="1"/>
  <c r="BU3" i="1"/>
  <c r="BP3" i="1"/>
  <c r="BO3" i="1"/>
  <c r="BN3" i="1"/>
  <c r="BI3" i="1"/>
  <c r="BH3" i="1"/>
  <c r="BG3" i="1"/>
  <c r="BA3" i="1"/>
  <c r="AZ3" i="1"/>
  <c r="AU3" i="1"/>
  <c r="AT3" i="1"/>
  <c r="AM3" i="1"/>
  <c r="AF3" i="1"/>
  <c r="Y3" i="1"/>
  <c r="S3" i="1"/>
  <c r="R3" i="1"/>
  <c r="R37" i="1" s="1"/>
  <c r="U43" i="1" s="1"/>
  <c r="L3" i="1"/>
  <c r="K3" i="1"/>
  <c r="E3" i="1"/>
  <c r="D3" i="1"/>
  <c r="K37" i="1" l="1"/>
  <c r="N43" i="1" s="1"/>
  <c r="Q37" i="1"/>
  <c r="Y37" i="1"/>
  <c r="AB43" i="1" s="1"/>
  <c r="AU37" i="1"/>
  <c r="AV40" i="1" s="1"/>
  <c r="AF37" i="1"/>
  <c r="AI43" i="1" s="1"/>
  <c r="BI37" i="1"/>
  <c r="C37" i="1"/>
  <c r="J37" i="1"/>
  <c r="AE37" i="1"/>
  <c r="AS37" i="1"/>
  <c r="BO37" i="1"/>
  <c r="CB37" i="1"/>
  <c r="AH40" i="1"/>
  <c r="BH37" i="1"/>
  <c r="BK43" i="1" s="1"/>
  <c r="AO40" i="1"/>
  <c r="M41" i="1"/>
  <c r="BX40" i="1"/>
  <c r="D37" i="1"/>
  <c r="AM37" i="1"/>
  <c r="BA37" i="1"/>
  <c r="BD43" i="1" s="1"/>
  <c r="BU37" i="1"/>
  <c r="AA40" i="1"/>
  <c r="CE40" i="1"/>
  <c r="E37" i="1"/>
  <c r="L37" i="1"/>
  <c r="S37" i="1"/>
  <c r="AG39" i="1"/>
  <c r="AT37" i="1"/>
  <c r="AW43" i="1" s="1"/>
  <c r="AZ37" i="1"/>
  <c r="BN37" i="1"/>
  <c r="BP37" i="1"/>
  <c r="BV37" i="1"/>
  <c r="BY43" i="1" s="1"/>
  <c r="CC37" i="1"/>
  <c r="CD39" i="1" l="1"/>
  <c r="CF43" i="1"/>
  <c r="AN39" i="1"/>
  <c r="AP43" i="1"/>
  <c r="BQ41" i="1"/>
  <c r="BR43" i="1"/>
  <c r="F41" i="1"/>
  <c r="G43" i="1"/>
  <c r="K38" i="1"/>
  <c r="BO38" i="1"/>
  <c r="R38" i="1"/>
  <c r="AU39" i="1"/>
  <c r="S39" i="1"/>
  <c r="CE41" i="1"/>
  <c r="CC38" i="1"/>
  <c r="BB39" i="1"/>
  <c r="BC40" i="1"/>
  <c r="BI39" i="1"/>
  <c r="BJ40" i="1"/>
  <c r="AF38" i="1"/>
  <c r="AH41" i="1"/>
  <c r="D38" i="1"/>
  <c r="L39" i="1"/>
  <c r="M40" i="1"/>
  <c r="BA38" i="1"/>
  <c r="BC41" i="1"/>
  <c r="BV38" i="1"/>
  <c r="BX41" i="1"/>
  <c r="Y38" i="1"/>
  <c r="AA41" i="1"/>
  <c r="BP39" i="1"/>
  <c r="BQ40" i="1"/>
  <c r="AT38" i="1"/>
  <c r="AV41" i="1"/>
  <c r="E39" i="1"/>
  <c r="F40" i="1"/>
  <c r="Z39" i="1"/>
  <c r="AM38" i="1"/>
  <c r="AO41" i="1"/>
  <c r="BW39" i="1"/>
  <c r="BH38" i="1"/>
  <c r="BJ41" i="1"/>
</calcChain>
</file>

<file path=xl/sharedStrings.xml><?xml version="1.0" encoding="utf-8"?>
<sst xmlns="http://schemas.openxmlformats.org/spreadsheetml/2006/main" count="60" uniqueCount="60">
  <si>
    <t>DADES MOBILITAT (vehicles/dia)</t>
  </si>
  <si>
    <t>AFORAMENTS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</si>
  <si>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</si>
  <si>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</si>
  <si>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</si>
  <si>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</si>
  <si>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</si>
  <si>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</si>
  <si>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</si>
  <si>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</si>
  <si>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 xml:space="preserve">Setembre </t>
  </si>
  <si>
    <t>Octubre</t>
  </si>
  <si>
    <t>Novembre</t>
  </si>
  <si>
    <t>Desembre</t>
  </si>
  <si>
    <t>C.Barcelona - Emili Grahit (entrada)</t>
  </si>
  <si>
    <t>C.Barcelona - Emili Grahit (sortida)</t>
  </si>
  <si>
    <t>C.Barcelona - sortida del carrer Martí Sureda</t>
  </si>
  <si>
    <t>C.Barcelona - sortida del carrer  Caldes de Montbui</t>
  </si>
  <si>
    <t>C. Riu Cardener (entrada)</t>
  </si>
  <si>
    <t>C. Riu Cardener (sortida)</t>
  </si>
  <si>
    <t>C.Güell - Pau Birol direcció Pont del Dimoni</t>
  </si>
  <si>
    <t>C.Güell - Pau Birol direcció Sta Coloma</t>
  </si>
  <si>
    <t>c.Sta Coloma - Castelló de la Plana (entrada)</t>
  </si>
  <si>
    <t>c.Sta Coloma - Castelló de la Plana (sortida)</t>
  </si>
  <si>
    <t>Caterina Albert - Pau Casals  direcció Devesa</t>
  </si>
  <si>
    <t>Caterina Albert - Pau Casals  direcció Sta Eugènia</t>
  </si>
  <si>
    <t>GVJI - c. Nord (direcció Correus)</t>
  </si>
  <si>
    <t>GVJI - c. Nord (direcció mercat)</t>
  </si>
  <si>
    <t>Pg.Devesa - Pont Pedret (entrada)</t>
  </si>
  <si>
    <t>Pg.Devesa - Pont Pedret (sortida)</t>
  </si>
  <si>
    <t>Carrer Ultònia - carrer Rutlla direcció Pl. Lleó</t>
  </si>
  <si>
    <t>Carrer Ultònia - direcció Rutla i Carme</t>
  </si>
  <si>
    <t>Sta. Eugènia - Mestre Civil direcció Poeta Marquina</t>
  </si>
  <si>
    <t>Sta. Eugènia - Mestre Civil direcció Rotonda Maristes</t>
  </si>
  <si>
    <t>Josep Tarradellas - Josep Viader direcció Rotonda Maristes</t>
  </si>
  <si>
    <t>Sta. Eugènia - Garrotxa direcció Salt</t>
  </si>
  <si>
    <t>Sta. Eugènia - Garrotxa direcció rotonda Maristes</t>
  </si>
  <si>
    <t>Passeig d'Olot - Montnegre dir. Pont del Dimoni</t>
  </si>
  <si>
    <t>Passeig d'Olot - Montnegre dir. Salt</t>
  </si>
  <si>
    <t>DIFERÈNCIA 2019-2018</t>
  </si>
  <si>
    <t>DIFERÈNCIA 2021-2019</t>
  </si>
  <si>
    <t>DIFERÈNCIA 2022-2021</t>
  </si>
  <si>
    <t>DIFERÈNCIA 2023-2022</t>
  </si>
  <si>
    <r>
      <t>DIFERÈNCIA 2020 (</t>
    </r>
    <r>
      <rPr>
        <sz val="9"/>
        <color rgb="FFFF0000"/>
        <rFont val="Calibri"/>
        <family val="2"/>
        <scheme val="minor"/>
      </rPr>
      <t>Covid-19)</t>
    </r>
    <r>
      <rPr>
        <sz val="9"/>
        <color theme="1"/>
        <rFont val="Calibri"/>
        <family val="2"/>
        <scheme val="minor"/>
      </rPr>
      <t>-2019</t>
    </r>
  </si>
  <si>
    <r>
      <t>DIFERÈNCIA 2021-2020 (</t>
    </r>
    <r>
      <rPr>
        <sz val="9"/>
        <color rgb="FFFF0000"/>
        <rFont val="Calibri"/>
        <family val="2"/>
        <scheme val="minor"/>
      </rPr>
      <t>Covid -19</t>
    </r>
    <r>
      <rPr>
        <sz val="9"/>
        <color theme="1"/>
        <rFont val="Calibri"/>
        <family val="2"/>
        <scheme val="minor"/>
      </rPr>
      <t>)</t>
    </r>
  </si>
  <si>
    <t>MITJANA</t>
  </si>
  <si>
    <t>CODI</t>
  </si>
  <si>
    <t>C.Barcelona  - sortida  carrer Emili Grahit</t>
  </si>
  <si>
    <t>C.Barcelona  - entrada carrer Emili Grahit</t>
  </si>
  <si>
    <t>C. Barcelona - sortida Passeig d'Olot</t>
  </si>
  <si>
    <t>C.Barcelona - Caldes de Montbui (entrada Girona)</t>
  </si>
  <si>
    <t>C.Barcelona - Caldes de Montbui (gir esquerra Hipercor)</t>
  </si>
  <si>
    <t xml:space="preserve"> Emili Grahit - Migdia (direcció Creu)</t>
  </si>
  <si>
    <t>Emili Grahit - Migdia (sortida Migida cap Emili Grahit - BCN)</t>
  </si>
  <si>
    <t>Ronda Ferran Puig - Rotonda Pont d'en Vidal (dir. Devesa)</t>
  </si>
  <si>
    <t xml:space="preserve"> Ronda Ferran Puig - Rotonda Pont d'en Vidal (dir. Marquès de Camps)</t>
  </si>
  <si>
    <r>
      <t>DIFERÈNCIA 2022-</t>
    </r>
    <r>
      <rPr>
        <b/>
        <sz val="9"/>
        <color rgb="FFFF0000"/>
        <rFont val="Calibri"/>
        <family val="2"/>
        <scheme val="minor"/>
      </rPr>
      <t>2019</t>
    </r>
  </si>
  <si>
    <t>No es van  prendre mesures durnat 7 dies</t>
  </si>
  <si>
    <t>Fallo. Causa no identificada</t>
  </si>
  <si>
    <t>Nous punts de mesura (gener 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</si>
</sst>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8"/>
      <color theme="0" tint="-4.9989318521683403E-2"/>
      <name val="Calibri"/>
      <family val="2"/>
      <scheme val="minor"/>
    </font>
    <font>
      <b/>
      <sz val="9"/>
      <color theme="0" tint="-4.9989318521683403E-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2" xfId="0" applyFont="1" applyFill="1" applyBorder="1"/>
    <xf numFmtId="0" fontId="5" fillId="0" borderId="0" xfId="0" applyFont="1"/>
    <xf numFmtId="3" fontId="5" fillId="0" borderId="0" xfId="0" applyNumberFormat="1" applyFont="1" applyBorder="1"/>
    <xf numFmtId="1" fontId="5" fillId="0" borderId="0" xfId="0" applyNumberFormat="1" applyFont="1"/>
    <xf numFmtId="3" fontId="5" fillId="0" borderId="0" xfId="0" applyNumberFormat="1" applyFont="1" applyBorder="1" applyAlignment="1">
      <alignment horizontal="center"/>
    </xf>
    <xf numFmtId="0" fontId="1" fillId="4" borderId="0" xfId="0" applyFont="1" applyFill="1"/>
    <xf numFmtId="0" fontId="0" fillId="5" borderId="0" xfId="0" applyFill="1"/>
    <xf numFmtId="0" fontId="0" fillId="6" borderId="0" xfId="0" applyFill="1"/>
    <xf numFmtId="1" fontId="0" fillId="0" borderId="0" xfId="0" applyNumberFormat="1" applyBorder="1"/>
    <xf numFmtId="0" fontId="0" fillId="0" borderId="0" xfId="0" applyBorder="1"/>
    <xf numFmtId="1" fontId="0" fillId="0" borderId="0" xfId="0" applyNumberFormat="1"/>
    <xf numFmtId="3" fontId="5" fillId="7" borderId="0" xfId="0" applyNumberFormat="1" applyFont="1" applyFill="1" applyBorder="1"/>
    <xf numFmtId="3" fontId="5" fillId="0" borderId="4" xfId="0" applyNumberFormat="1" applyFont="1" applyBorder="1"/>
    <xf numFmtId="3" fontId="5" fillId="0" borderId="6" xfId="0" applyNumberFormat="1" applyFont="1" applyBorder="1"/>
    <xf numFmtId="1" fontId="3" fillId="2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5" fillId="0" borderId="7" xfId="0" applyNumberFormat="1" applyFont="1" applyBorder="1"/>
    <xf numFmtId="3" fontId="5" fillId="0" borderId="6" xfId="0" applyNumberFormat="1" applyFont="1" applyBorder="1" applyAlignment="1">
      <alignment horizontal="center"/>
    </xf>
    <xf numFmtId="1" fontId="3" fillId="2" borderId="4" xfId="0" applyNumberFormat="1" applyFont="1" applyFill="1" applyBorder="1" applyAlignment="1">
      <alignment horizontal="center" vertical="center"/>
    </xf>
    <xf numFmtId="1" fontId="7" fillId="0" borderId="0" xfId="0" applyNumberFormat="1" applyFont="1"/>
    <xf numFmtId="3" fontId="5" fillId="0" borderId="0" xfId="0" applyNumberFormat="1" applyFont="1" applyFill="1" applyBorder="1"/>
    <xf numFmtId="1" fontId="3" fillId="2" borderId="7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/>
    <xf numFmtId="1" fontId="3" fillId="2" borderId="9" xfId="0" applyNumberFormat="1" applyFont="1" applyFill="1" applyBorder="1" applyAlignment="1">
      <alignment horizontal="center" vertical="center"/>
    </xf>
    <xf numFmtId="3" fontId="5" fillId="4" borderId="0" xfId="0" applyNumberFormat="1" applyFont="1" applyFill="1" applyBorder="1"/>
    <xf numFmtId="0" fontId="5" fillId="0" borderId="10" xfId="0" applyFont="1" applyFill="1" applyBorder="1" applyAlignment="1">
      <alignment horizontal="right"/>
    </xf>
    <xf numFmtId="9" fontId="0" fillId="0" borderId="10" xfId="1" applyFont="1" applyFill="1" applyBorder="1"/>
    <xf numFmtId="9" fontId="0" fillId="0" borderId="11" xfId="1" applyFont="1" applyFill="1" applyBorder="1"/>
    <xf numFmtId="9" fontId="0" fillId="0" borderId="13" xfId="1" applyFont="1" applyFill="1" applyBorder="1"/>
    <xf numFmtId="3" fontId="5" fillId="5" borderId="0" xfId="0" applyNumberFormat="1" applyFont="1" applyFill="1" applyBorder="1"/>
    <xf numFmtId="0" fontId="3" fillId="2" borderId="7" xfId="0" applyFont="1" applyFill="1" applyBorder="1" applyAlignment="1">
      <alignment horizontal="center" vertical="center"/>
    </xf>
    <xf numFmtId="0" fontId="5" fillId="8" borderId="0" xfId="0" applyFont="1" applyFill="1"/>
    <xf numFmtId="9" fontId="5" fillId="0" borderId="10" xfId="1" applyFont="1" applyFill="1" applyBorder="1"/>
    <xf numFmtId="0" fontId="1" fillId="0" borderId="0" xfId="0" applyFont="1"/>
    <xf numFmtId="0" fontId="6" fillId="0" borderId="10" xfId="0" applyFont="1" applyFill="1" applyBorder="1" applyAlignment="1">
      <alignment horizontal="right"/>
    </xf>
    <xf numFmtId="9" fontId="1" fillId="9" borderId="10" xfId="1" applyFont="1" applyFill="1" applyBorder="1"/>
    <xf numFmtId="9" fontId="1" fillId="9" borderId="11" xfId="1" applyFont="1" applyFill="1" applyBorder="1"/>
    <xf numFmtId="9" fontId="1" fillId="9" borderId="13" xfId="1" applyFont="1" applyFill="1" applyBorder="1"/>
    <xf numFmtId="3" fontId="9" fillId="0" borderId="0" xfId="0" applyNumberFormat="1" applyFont="1" applyBorder="1"/>
    <xf numFmtId="3" fontId="9" fillId="0" borderId="0" xfId="0" applyNumberFormat="1" applyFont="1" applyFill="1" applyBorder="1"/>
    <xf numFmtId="3" fontId="11" fillId="0" borderId="0" xfId="0" applyNumberFormat="1" applyFont="1" applyBorder="1"/>
    <xf numFmtId="3" fontId="11" fillId="0" borderId="4" xfId="0" applyNumberFormat="1" applyFont="1" applyBorder="1"/>
    <xf numFmtId="9" fontId="0" fillId="0" borderId="15" xfId="1" applyFont="1" applyFill="1" applyBorder="1"/>
    <xf numFmtId="9" fontId="0" fillId="0" borderId="14" xfId="1" applyFont="1" applyFill="1" applyBorder="1"/>
    <xf numFmtId="9" fontId="1" fillId="0" borderId="0" xfId="0" applyNumberFormat="1" applyFont="1"/>
    <xf numFmtId="3" fontId="5" fillId="8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3" fontId="5" fillId="4" borderId="0" xfId="0" applyNumberFormat="1" applyFont="1" applyFill="1" applyBorder="1" applyAlignment="1">
      <alignment horizontal="left"/>
    </xf>
    <xf numFmtId="3" fontId="5" fillId="5" borderId="0" xfId="0" applyNumberFormat="1" applyFont="1" applyFill="1" applyBorder="1" applyAlignment="1">
      <alignment horizontal="left"/>
    </xf>
    <xf numFmtId="0" fontId="6" fillId="10" borderId="7" xfId="0" applyFont="1" applyFill="1" applyBorder="1" applyAlignment="1">
      <alignment horizontal="right"/>
    </xf>
    <xf numFmtId="3" fontId="5" fillId="10" borderId="6" xfId="0" applyNumberFormat="1" applyFont="1" applyFill="1" applyBorder="1"/>
    <xf numFmtId="3" fontId="5" fillId="10" borderId="0" xfId="0" applyNumberFormat="1" applyFont="1" applyFill="1" applyBorder="1"/>
    <xf numFmtId="3" fontId="5" fillId="10" borderId="12" xfId="0" applyNumberFormat="1" applyFont="1" applyFill="1" applyBorder="1"/>
    <xf numFmtId="3" fontId="5" fillId="10" borderId="7" xfId="0" applyNumberFormat="1" applyFont="1" applyFill="1" applyBorder="1"/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FFCC"/>
      <color rgb="FFFFFF66"/>
      <color rgb="FFFF3399"/>
      <color rgb="FF008080"/>
      <color rgb="FF85B400"/>
      <color rgb="FFBEFF05"/>
      <color rgb="FFFFCC99"/>
      <color rgb="FF99FFCC"/>
      <color rgb="FF9999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8080"/>
                </a:solidFill>
                <a:latin typeface="+mn-lt"/>
                <a:ea typeface="+mn-ea"/>
                <a:cs typeface="+mn-cs"/>
              </a:defRPr>
            </a:pPr>
            <a:r>
              <a:rPr lang="ca-ES" b="1">
                <a:solidFill>
                  <a:srgbClr val="008080"/>
                </a:solidFill>
              </a:rPr>
              <a:t>INTENSITAT</a:t>
            </a:r>
            <a:r>
              <a:rPr lang="ca-ES" b="1" baseline="0">
                <a:solidFill>
                  <a:srgbClr val="008080"/>
                </a:solidFill>
              </a:rPr>
              <a:t> DE TRÀNSIT A LA CIUTAT DE GIRONA</a:t>
            </a:r>
            <a:endParaRPr lang="ca-ES" b="1">
              <a:solidFill>
                <a:srgbClr val="00808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8080"/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2018</c:v>
          </c:tx>
          <c:spPr>
            <a:ln w="28575" cap="rnd">
              <a:solidFill>
                <a:srgbClr val="85B400"/>
              </a:solidFill>
              <a:round/>
            </a:ln>
            <a:effectLst/>
          </c:spPr>
          <c:marker>
            <c:symbol val="none"/>
          </c:marker>
          <c:val>
            <c:numRef>
              <c:f>('IDM 18-23'!$C$37,'IDM 18-23'!$J$37,'IDM 18-23'!$Q$37,'IDM 18-23'!$X$37,'IDM 18-23'!$AE$37,'IDM 18-23'!$AL$37,'IDM 18-23'!$AS$37,'IDM 18-23'!$AZ$37,'IDM 18-23'!$BG$37,'IDM 18-23'!$BN$37,'IDM 18-23'!$BU$37,'IDM 18-23'!$CB$37)</c:f>
              <c:numCache>
                <c:formatCode>#,##0</c:formatCode>
                <c:ptCount val="12"/>
                <c:pt idx="0">
                  <c:v>5738.8030303030291</c:v>
                </c:pt>
                <c:pt idx="1">
                  <c:v>6055.4393939393949</c:v>
                </c:pt>
                <c:pt idx="2">
                  <c:v>6183.9242424242429</c:v>
                </c:pt>
                <c:pt idx="3">
                  <c:v>6137.144927536232</c:v>
                </c:pt>
                <c:pt idx="4">
                  <c:v>6133.188405797102</c:v>
                </c:pt>
                <c:pt idx="5">
                  <c:v>6105.521739130435</c:v>
                </c:pt>
                <c:pt idx="6">
                  <c:v>5584.942028985507</c:v>
                </c:pt>
                <c:pt idx="7">
                  <c:v>5607.4266666666672</c:v>
                </c:pt>
                <c:pt idx="8">
                  <c:v>6337</c:v>
                </c:pt>
                <c:pt idx="9">
                  <c:v>6802.1466666666674</c:v>
                </c:pt>
                <c:pt idx="10">
                  <c:v>6360.2666666666664</c:v>
                </c:pt>
                <c:pt idx="11">
                  <c:v>6334.9866666666667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5A-44A9-9958-A6D98C923EFA}"/>
            </c:ext>
          </c:extLst>
        </c:ser>
        <c:ser>
          <c:idx val="1"/>
          <c:order val="1"/>
          <c:tx>
            <c:v>2019</c:v>
          </c:tx>
          <c:spPr>
            <a:ln w="28575" cap="rnd">
              <a:solidFill>
                <a:srgbClr val="FF3399"/>
              </a:solidFill>
              <a:round/>
            </a:ln>
            <a:effectLst/>
          </c:spPr>
          <c:marker>
            <c:symbol val="none"/>
          </c:marker>
          <c:val>
            <c:numRef>
              <c:f>('IDM 18-23'!$D$37,'IDM 18-23'!$K$37,'IDM 18-23'!$R$37,'IDM 18-23'!$Y$37,'IDM 18-23'!$AF$37,'IDM 18-23'!$AM$37,'IDM 18-23'!$AT$37,'IDM 18-23'!$BA$37,'IDM 18-23'!$BH$37,'IDM 18-23'!$BO$37,'IDM 18-23'!$BV$37,'IDM 18-23'!$CC$37)</c:f>
              <c:numCache>
                <c:formatCode>#,##0</c:formatCode>
                <c:ptCount val="12"/>
                <c:pt idx="0">
                  <c:v>6142.6933333333336</c:v>
                </c:pt>
                <c:pt idx="1">
                  <c:v>6460.333333333333</c:v>
                </c:pt>
                <c:pt idx="2">
                  <c:v>6680.768115942029</c:v>
                </c:pt>
                <c:pt idx="3">
                  <c:v>7221.188405797101</c:v>
                </c:pt>
                <c:pt idx="4">
                  <c:v>7637.3768115942039</c:v>
                </c:pt>
                <c:pt idx="5">
                  <c:v>6729.1600000000008</c:v>
                </c:pt>
                <c:pt idx="6">
                  <c:v>6752.786666666666</c:v>
                </c:pt>
                <c:pt idx="7">
                  <c:v>6219.5066666666689</c:v>
                </c:pt>
                <c:pt idx="8">
                  <c:v>6422.253333333334</c:v>
                </c:pt>
                <c:pt idx="9">
                  <c:v>8000.0000000000009</c:v>
                </c:pt>
                <c:pt idx="10">
                  <c:v>6978.4400000000014</c:v>
                </c:pt>
                <c:pt idx="11">
                  <c:v>6407.6533333333336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5A-44A9-9958-A6D98C923EFA}"/>
            </c:ext>
          </c:extLst>
        </c:ser>
        <c:ser>
          <c:idx val="2"/>
          <c:order val="2"/>
          <c:tx>
            <c:v>2020</c:v>
          </c:tx>
          <c:spPr>
            <a:ln w="28575" cap="rnd">
              <a:solidFill>
                <a:srgbClr val="9999FF"/>
              </a:solidFill>
              <a:round/>
            </a:ln>
            <a:effectLst/>
          </c:spPr>
          <c:marker>
            <c:symbol val="none"/>
          </c:marker>
          <c:val>
            <c:numRef>
              <c:f>('IDM 18-23'!$E$37,'IDM 18-23'!$L$37,'IDM 18-23'!$S$37,'IDM 18-23'!$Z$37,'IDM 18-23'!$AG$37,'IDM 18-23'!$AN$37,'IDM 18-23'!$AU$37,'IDM 18-23'!$BB$37,'IDM 18-23'!$BI$37,'IDM 18-23'!$BP$37,'IDM 18-23'!$BW$37,'IDM 18-23'!$CD$37)</c:f>
              <c:numCache>
                <c:formatCode>#,##0</c:formatCode>
                <c:ptCount val="12"/>
                <c:pt idx="0">
                  <c:v>6080.7200000000012</c:v>
                </c:pt>
                <c:pt idx="1">
                  <c:v>6310.5866666666661</c:v>
                </c:pt>
                <c:pt idx="2">
                  <c:v>3601.5939784946236</c:v>
                </c:pt>
                <c:pt idx="3">
                  <c:v>1847.6746666666668</c:v>
                </c:pt>
                <c:pt idx="4">
                  <c:v>3366.9640018700329</c:v>
                </c:pt>
                <c:pt idx="5">
                  <c:v>4405.9449275362322</c:v>
                </c:pt>
                <c:pt idx="6">
                  <c:v>5278.6825396825398</c:v>
                </c:pt>
                <c:pt idx="7">
                  <c:v>4977.5714285714294</c:v>
                </c:pt>
                <c:pt idx="8">
                  <c:v>5420.1014492753611</c:v>
                </c:pt>
                <c:pt idx="9">
                  <c:v>4877.5333333333328</c:v>
                </c:pt>
                <c:pt idx="10">
                  <c:v>4142.3599999999997</c:v>
                </c:pt>
                <c:pt idx="11">
                  <c:v>3892.9466666666663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5A-44A9-9958-A6D98C923EFA}"/>
            </c:ext>
          </c:extLst>
        </c:ser>
        <c:ser>
          <c:idx val="3"/>
          <c:order val="3"/>
          <c:tx>
            <c:v>2021</c:v>
          </c:tx>
          <c:spPr>
            <a:ln w="28575" cap="rnd">
              <a:solidFill>
                <a:srgbClr val="FFCC99"/>
              </a:solidFill>
              <a:round/>
            </a:ln>
            <a:effectLst/>
          </c:spPr>
          <c:marker>
            <c:symbol val="none"/>
          </c:marker>
          <c:val>
            <c:numRef>
              <c:f>('IDM 18-23'!$F$37,'IDM 18-23'!$M$37,'IDM 18-23'!$T$37,'IDM 18-23'!$AA$37,'IDM 18-23'!$AH$37,'IDM 18-23'!$AO$37,'IDM 18-23'!$AV$37,'IDM 18-23'!$BC$37,'IDM 18-23'!$BJ$37,'IDM 18-23'!$BQ$37,'IDM 18-23'!$BX$37,'IDM 18-23'!$CE$37)</c:f>
              <c:numCache>
                <c:formatCode>#,##0</c:formatCode>
                <c:ptCount val="12"/>
                <c:pt idx="0">
                  <c:v>4139.6000000000004</c:v>
                </c:pt>
                <c:pt idx="1">
                  <c:v>4096.6000000000004</c:v>
                </c:pt>
                <c:pt idx="2">
                  <c:v>0</c:v>
                </c:pt>
                <c:pt idx="3">
                  <c:v>3653.7333333333318</c:v>
                </c:pt>
                <c:pt idx="4">
                  <c:v>5747.5466666666662</c:v>
                </c:pt>
                <c:pt idx="5">
                  <c:v>5656.4266666666663</c:v>
                </c:pt>
                <c:pt idx="6">
                  <c:v>5301.4133333333311</c:v>
                </c:pt>
                <c:pt idx="7">
                  <c:v>4771.7733333333335</c:v>
                </c:pt>
                <c:pt idx="8">
                  <c:v>5436.0724637681151</c:v>
                </c:pt>
                <c:pt idx="9">
                  <c:v>5265.12</c:v>
                </c:pt>
                <c:pt idx="10">
                  <c:v>5452.6133333333328</c:v>
                </c:pt>
                <c:pt idx="11">
                  <c:v>5245.8725490196084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5A-44A9-9958-A6D98C923EFA}"/>
            </c:ext>
          </c:extLst>
        </c:ser>
        <c:ser>
          <c:idx val="4"/>
          <c:order val="4"/>
          <c:tx>
            <c:v>2022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('IDM 18-23'!$G$37,'IDM 18-23'!$N$37,'IDM 18-23'!$U$37,'IDM 18-23'!$AB$37,'IDM 18-23'!$AI$37,'IDM 18-23'!$AP$37,'IDM 18-23'!$AW$37,'IDM 18-23'!$BD$37,'IDM 18-23'!$BK$37,'IDM 18-23'!$BR$37,'IDM 18-23'!$BY$37,'IDM 18-23'!$CF$37)</c:f>
              <c:numCache>
                <c:formatCode>#,##0</c:formatCode>
                <c:ptCount val="12"/>
                <c:pt idx="0">
                  <c:v>4451.6274509803916</c:v>
                </c:pt>
                <c:pt idx="1">
                  <c:v>5275.1515151515141</c:v>
                </c:pt>
                <c:pt idx="2">
                  <c:v>4401.1919191919187</c:v>
                </c:pt>
                <c:pt idx="3">
                  <c:v>5468.5185185185192</c:v>
                </c:pt>
                <c:pt idx="4">
                  <c:v>5477.0202020202014</c:v>
                </c:pt>
                <c:pt idx="5">
                  <c:v>5627.3793103448288</c:v>
                </c:pt>
                <c:pt idx="6">
                  <c:v>5057.363636363636</c:v>
                </c:pt>
                <c:pt idx="7">
                  <c:v>4539.4623655913983</c:v>
                </c:pt>
                <c:pt idx="8">
                  <c:v>5286.5268817204305</c:v>
                </c:pt>
                <c:pt idx="9">
                  <c:v>5040.0229885057479</c:v>
                </c:pt>
                <c:pt idx="10">
                  <c:v>5136.2758620689656</c:v>
                </c:pt>
                <c:pt idx="11">
                  <c:v>4682.75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F2-432D-AA8F-FDFF429F7DC5}"/>
            </c:ext>
          </c:extLst>
        </c:ser>
        <c:ser>
          <c:idx val="5"/>
          <c:order val="5"/>
          <c:tx>
            <c:v>2023</c:v>
          </c:tx>
          <c:spPr>
            <a:ln w="28575" cap="rnd">
              <a:solidFill>
                <a:srgbClr val="FFFF66"/>
              </a:solidFill>
              <a:round/>
            </a:ln>
            <a:effectLst/>
          </c:spPr>
          <c:marker>
            <c:symbol val="none"/>
          </c:marker>
          <c:val>
            <c:numRef>
              <c:f>('IDM 18-23'!$H$37,'IDM 18-23'!$O$37,'IDM 18-23'!$V$37,'IDM 18-23'!$AC$37,'IDM 18-23'!$AJ$37,'IDM 18-23'!$AQ$37,'IDM 18-23'!$AX$37,'IDM 18-23'!$BE$37,'IDM 18-23'!$BL$37,'IDM 18-23'!$BS$37,'IDM 18-23'!$BZ$37,'IDM 18-23'!$CG$37)</c:f>
              <c:numCache>
                <c:formatCode>#,##0</c:formatCode>
                <c:ptCount val="12"/>
                <c:pt idx="0">
                  <c:v>4763.3978494623661</c:v>
                </c:pt>
                <c:pt idx="1">
                  <c:v>4900.7526881720432</c:v>
                </c:pt>
                <c:pt idx="2">
                  <c:v>5144.04</c:v>
                </c:pt>
                <c:pt idx="3">
                  <c:v>4806.9354838709687</c:v>
                </c:pt>
                <c:pt idx="4">
                  <c:v>5248.4367816091944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4E-4346-AE19-A7C90601D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7767184"/>
        <c:axId val="1827774256"/>
      </c:lineChart>
      <c:catAx>
        <c:axId val="1827767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808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008080"/>
                    </a:solidFill>
                  </a:rPr>
                  <a:t>mes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008080"/>
                  </a:solidFill>
                  <a:latin typeface="+mn-lt"/>
                  <a:ea typeface="+mn-ea"/>
                  <a:cs typeface="+mn-cs"/>
                </a:defRPr>
              </a:pPr>
              <a:endParaRPr lang="ca-E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827774256"/>
        <c:crosses val="autoZero"/>
        <c:auto val="1"/>
        <c:lblAlgn val="ctr"/>
        <c:lblOffset val="100"/>
        <c:noMultiLvlLbl val="0"/>
      </c:catAx>
      <c:valAx>
        <c:axId val="182777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a-ES">
                    <a:solidFill>
                      <a:srgbClr val="008080"/>
                    </a:solidFill>
                  </a:rPr>
                  <a:t>vehicles/dia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a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82776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2252382</xdr:colOff>
      <xdr:row>48</xdr:row>
      <xdr:rowOff>186016</xdr:rowOff>
    </xdr:from>
    <xdr:to>
      <xdr:col>22</xdr:col>
      <xdr:colOff>235323</xdr:colOff>
      <xdr:row>72</xdr:row>
      <xdr:rowOff>44823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DB58"/>
  <sheetViews>
    <sheetView tabSelected="1" zoomScale="85" zoomScaleNormal="85" workbookViewId="0">
      <pane xSplit="11" ySplit="27" topLeftCell="L58" activePane="bottomRight" state="frozen"/>
      <selection pane="topRight" activeCell="G1" sqref="G1"/>
      <selection pane="bottomLeft" activeCell="A19" sqref="A19"/>
      <selection pane="bottomRight" activeCell="CJ24" sqref="CJ24"/>
    </sheetView>
  </sheetViews>
  <sheetFormatPr defaultColWidth="9.140625" defaultRowHeight="15" x14ac:dyDescent="0.25"/>
  <cols>
    <col min="1" max="1" width="0" hidden="1" customWidth="1"/>
    <col min="2" max="2" width="48.42578125" customWidth="1"/>
    <col min="3" max="3" width="7.42578125" style="16" customWidth="1"/>
    <col min="4" max="4" width="7.42578125" customWidth="1"/>
    <col min="5" max="10" width="7.42578125" style="16" customWidth="1"/>
    <col min="11" max="25" width="7.42578125" customWidth="1"/>
    <col min="26" max="31" width="8" customWidth="1"/>
    <col min="32" max="39" width="7.42578125" customWidth="1"/>
    <col min="40" max="45" width="7.28515625" customWidth="1"/>
    <col min="46" max="46" width="7.42578125" style="16" customWidth="1"/>
    <col min="47" max="102" width="7.42578125" customWidth="1"/>
  </cols>
  <sheetData>
    <row r="1" spans="1:86" ht="15.75" x14ac:dyDescent="0.25">
      <c r="B1" s="1" t="s">
        <v>0</v>
      </c>
      <c r="C1" s="20">
        <v>2018</v>
      </c>
      <c r="D1" s="21">
        <v>2019</v>
      </c>
      <c r="E1" s="22">
        <v>2020</v>
      </c>
      <c r="F1" s="33">
        <v>2021</v>
      </c>
      <c r="G1" s="2">
        <v>2022</v>
      </c>
      <c r="H1" s="2">
        <v>2023</v>
      </c>
      <c r="I1" s="31">
        <v>2024</v>
      </c>
      <c r="J1" s="2">
        <v>2018</v>
      </c>
      <c r="K1" s="4">
        <v>2019</v>
      </c>
      <c r="L1" s="5">
        <v>2020</v>
      </c>
      <c r="M1" s="3">
        <v>2021</v>
      </c>
      <c r="N1" s="3">
        <v>2022</v>
      </c>
      <c r="O1" s="3">
        <v>2023</v>
      </c>
      <c r="P1" s="3">
        <v>2024</v>
      </c>
      <c r="Q1" s="23">
        <v>2018</v>
      </c>
      <c r="R1" s="21">
        <v>2019</v>
      </c>
      <c r="S1" s="24">
        <v>2020</v>
      </c>
      <c r="T1" s="25">
        <v>2021</v>
      </c>
      <c r="U1" s="21">
        <v>2022</v>
      </c>
      <c r="V1" s="21">
        <v>2023</v>
      </c>
      <c r="W1" s="21">
        <v>2024</v>
      </c>
      <c r="X1" s="23">
        <v>2018</v>
      </c>
      <c r="Y1" s="21">
        <v>2019</v>
      </c>
      <c r="Z1" s="24">
        <v>2020</v>
      </c>
      <c r="AA1" s="25">
        <v>2021</v>
      </c>
      <c r="AB1" s="21">
        <v>2022</v>
      </c>
      <c r="AC1" s="21">
        <v>2023</v>
      </c>
      <c r="AD1" s="21">
        <v>2024</v>
      </c>
      <c r="AE1" s="23">
        <v>2018</v>
      </c>
      <c r="AF1" s="21">
        <v>2019</v>
      </c>
      <c r="AG1" s="21">
        <v>2020</v>
      </c>
      <c r="AH1" s="25">
        <v>2021</v>
      </c>
      <c r="AI1" s="21">
        <v>2022</v>
      </c>
      <c r="AJ1" s="21">
        <v>2023</v>
      </c>
      <c r="AK1" s="21">
        <v>2024</v>
      </c>
      <c r="AL1" s="23">
        <v>2018</v>
      </c>
      <c r="AM1" s="21">
        <v>2019</v>
      </c>
      <c r="AN1" s="21">
        <v>2020</v>
      </c>
      <c r="AO1" s="25">
        <v>2021</v>
      </c>
      <c r="AP1" s="21">
        <v>2022</v>
      </c>
      <c r="AQ1" s="21">
        <v>2023</v>
      </c>
      <c r="AR1" s="21">
        <v>2024</v>
      </c>
      <c r="AS1" s="23">
        <v>2018</v>
      </c>
      <c r="AT1" s="28">
        <v>2019</v>
      </c>
      <c r="AU1" s="24">
        <v>2020</v>
      </c>
      <c r="AV1" s="25">
        <v>2021</v>
      </c>
      <c r="AW1" s="21">
        <v>2022</v>
      </c>
      <c r="AX1" s="21">
        <v>2023</v>
      </c>
      <c r="AY1" s="25">
        <v>2024</v>
      </c>
      <c r="AZ1" s="21">
        <v>2018</v>
      </c>
      <c r="BA1" s="28">
        <v>2019</v>
      </c>
      <c r="BB1" s="21">
        <v>2020</v>
      </c>
      <c r="BC1" s="25">
        <v>2021</v>
      </c>
      <c r="BD1" s="21">
        <v>2022</v>
      </c>
      <c r="BE1" s="21">
        <v>2023</v>
      </c>
      <c r="BF1" s="21">
        <v>2024</v>
      </c>
      <c r="BG1" s="23">
        <v>2018</v>
      </c>
      <c r="BH1" s="21">
        <v>2019</v>
      </c>
      <c r="BI1" s="21">
        <v>2020</v>
      </c>
      <c r="BJ1" s="25">
        <v>2021</v>
      </c>
      <c r="BK1" s="21">
        <v>2022</v>
      </c>
      <c r="BL1" s="21">
        <v>2023</v>
      </c>
      <c r="BM1" s="21">
        <v>2024</v>
      </c>
      <c r="BN1" s="23">
        <v>2018</v>
      </c>
      <c r="BO1" s="21">
        <v>2019</v>
      </c>
      <c r="BP1" s="21">
        <v>2020</v>
      </c>
      <c r="BQ1" s="25">
        <v>2021</v>
      </c>
      <c r="BR1" s="21">
        <v>2022</v>
      </c>
      <c r="BS1" s="21">
        <v>2023</v>
      </c>
      <c r="BT1" s="21">
        <v>2024</v>
      </c>
      <c r="BU1" s="23">
        <v>2018</v>
      </c>
      <c r="BV1" s="21">
        <v>2019</v>
      </c>
      <c r="BW1" s="21">
        <v>2020</v>
      </c>
      <c r="BX1" s="25">
        <v>2021</v>
      </c>
      <c r="BY1" s="21">
        <v>2022</v>
      </c>
      <c r="BZ1" s="21">
        <v>2023</v>
      </c>
      <c r="CA1" s="25">
        <v>2024</v>
      </c>
      <c r="CB1" s="21">
        <v>2018</v>
      </c>
      <c r="CC1" s="21">
        <v>2019</v>
      </c>
      <c r="CD1" s="24">
        <v>2020</v>
      </c>
      <c r="CE1" s="25">
        <v>2021</v>
      </c>
      <c r="CF1" s="3">
        <v>2022</v>
      </c>
      <c r="CG1" s="3">
        <v>2023</v>
      </c>
      <c r="CH1" s="40">
        <v>2024</v>
      </c>
    </row>
    <row r="2" spans="1:86" ht="15.75" thickBot="1" x14ac:dyDescent="0.3">
      <c r="A2" s="6" t="s">
        <v>46</v>
      </c>
      <c r="B2" s="6" t="s">
        <v>1</v>
      </c>
      <c r="C2" s="58" t="s">
        <v>2</v>
      </c>
      <c r="D2" s="56"/>
      <c r="E2" s="56"/>
      <c r="F2" s="56"/>
      <c r="G2" s="56"/>
      <c r="H2" s="56"/>
      <c r="I2" s="57"/>
      <c r="J2" s="58" t="s">
        <v>3</v>
      </c>
      <c r="K2" s="56"/>
      <c r="L2" s="56"/>
      <c r="M2" s="56"/>
      <c r="N2" s="56"/>
      <c r="O2" s="56"/>
      <c r="P2" s="57"/>
      <c r="Q2" s="58" t="s">
        <v>4</v>
      </c>
      <c r="R2" s="56"/>
      <c r="S2" s="56"/>
      <c r="T2" s="56"/>
      <c r="U2" s="56"/>
      <c r="V2" s="56"/>
      <c r="W2" s="57"/>
      <c r="X2" s="58" t="s">
        <v>5</v>
      </c>
      <c r="Y2" s="56"/>
      <c r="Z2" s="56"/>
      <c r="AA2" s="56"/>
      <c r="AB2" s="56"/>
      <c r="AC2" s="56"/>
      <c r="AD2" s="57"/>
      <c r="AE2" s="58" t="s">
        <v>6</v>
      </c>
      <c r="AF2" s="56"/>
      <c r="AG2" s="56"/>
      <c r="AH2" s="56"/>
      <c r="AI2" s="56"/>
      <c r="AJ2" s="56"/>
      <c r="AK2" s="57"/>
      <c r="AL2" s="58" t="s">
        <v>7</v>
      </c>
      <c r="AM2" s="56"/>
      <c r="AN2" s="56"/>
      <c r="AO2" s="56"/>
      <c r="AP2" s="56"/>
      <c r="AQ2" s="56"/>
      <c r="AR2" s="57"/>
      <c r="AS2" s="58" t="s">
        <v>8</v>
      </c>
      <c r="AT2" s="56"/>
      <c r="AU2" s="56"/>
      <c r="AV2" s="56"/>
      <c r="AW2" s="56"/>
      <c r="AX2" s="56"/>
      <c r="AY2" s="57"/>
      <c r="AZ2" s="58" t="s">
        <v>9</v>
      </c>
      <c r="BA2" s="56"/>
      <c r="BB2" s="56"/>
      <c r="BC2" s="56"/>
      <c r="BD2" s="56"/>
      <c r="BE2" s="56"/>
      <c r="BF2" s="57"/>
      <c r="BG2" s="56" t="s">
        <v>10</v>
      </c>
      <c r="BH2" s="56"/>
      <c r="BI2" s="56"/>
      <c r="BJ2" s="56"/>
      <c r="BK2" s="56"/>
      <c r="BL2" s="56"/>
      <c r="BM2" s="57"/>
      <c r="BN2" s="56" t="s">
        <v>11</v>
      </c>
      <c r="BO2" s="56"/>
      <c r="BP2" s="56"/>
      <c r="BQ2" s="56"/>
      <c r="BR2" s="56"/>
      <c r="BS2" s="56"/>
      <c r="BT2" s="57"/>
      <c r="BU2" s="56" t="s">
        <v>12</v>
      </c>
      <c r="BV2" s="56"/>
      <c r="BW2" s="56"/>
      <c r="BX2" s="56"/>
      <c r="BY2" s="56"/>
      <c r="BZ2" s="56"/>
      <c r="CA2" s="57"/>
      <c r="CB2" s="56" t="s">
        <v>13</v>
      </c>
      <c r="CC2" s="56"/>
      <c r="CD2" s="56"/>
      <c r="CE2" s="56"/>
      <c r="CF2" s="56"/>
      <c r="CG2" s="56"/>
      <c r="CH2" s="57"/>
    </row>
    <row r="3" spans="1:86" x14ac:dyDescent="0.25">
      <c r="A3">
        <v>106</v>
      </c>
      <c r="B3" s="7" t="s">
        <v>14</v>
      </c>
      <c r="C3" s="19"/>
      <c r="D3" s="8">
        <f>(12282+7377+12405)/3</f>
        <v>10688</v>
      </c>
      <c r="E3" s="50">
        <f>(10622+8856+11126)/3</f>
        <v>10201.333333333334</v>
      </c>
      <c r="F3" s="8">
        <f>(10600+4403+7477)/3</f>
        <v>7493.333333333333</v>
      </c>
      <c r="G3" s="8">
        <f>(11162+8502+5128)/3</f>
        <v>8264</v>
      </c>
      <c r="H3" s="17">
        <f>(9247+6360+11088)/3</f>
        <v>8898.3333333333339</v>
      </c>
      <c r="I3" s="32"/>
      <c r="J3" s="18"/>
      <c r="K3" s="18">
        <f>(10790+7806+13932)/3</f>
        <v>10842.666666666666</v>
      </c>
      <c r="L3" s="51">
        <f>(9200+7053+11838)/3</f>
        <v>9363.6666666666661</v>
      </c>
      <c r="M3" s="8">
        <f>(10783+5475+2583)/3</f>
        <v>6280.333333333333</v>
      </c>
      <c r="N3" s="8">
        <f>(8457+7144+11581)/3</f>
        <v>9060.6666666666661</v>
      </c>
      <c r="O3" s="17">
        <f>(9624+5875+11756)/3</f>
        <v>9085</v>
      </c>
      <c r="P3" s="30"/>
      <c r="Q3" s="19"/>
      <c r="R3" s="8">
        <f>(11981+7925+14448)/3</f>
        <v>11451.333333333334</v>
      </c>
      <c r="S3" s="48">
        <f>(4348+3711+8347)/3</f>
        <v>5468.666666666667</v>
      </c>
      <c r="T3" s="8"/>
      <c r="U3" s="8">
        <f>(11697+4872+8657)/3</f>
        <v>8408.6666666666661</v>
      </c>
      <c r="V3" s="17">
        <f>(9956+6190+13643)/3</f>
        <v>9929.6666666666661</v>
      </c>
      <c r="W3" s="8"/>
      <c r="X3" s="19"/>
      <c r="Y3" s="8">
        <f>(13776+8287+15790)/3</f>
        <v>12617.666666666666</v>
      </c>
      <c r="Z3" s="8">
        <v>3161.7333333333331</v>
      </c>
      <c r="AA3" s="49">
        <f>(10044+5436+2815)/3</f>
        <v>6098.333333333333</v>
      </c>
      <c r="AB3" s="8">
        <f>(13311+9475+6062)/3</f>
        <v>9616</v>
      </c>
      <c r="AC3" s="17">
        <f>(9481+6431+12039)/3</f>
        <v>9317</v>
      </c>
      <c r="AD3" s="30"/>
      <c r="AE3" s="19"/>
      <c r="AF3" s="8">
        <f>(11816+10270+15087)/3</f>
        <v>12391</v>
      </c>
      <c r="AG3" s="48">
        <v>6163.666666666667</v>
      </c>
      <c r="AH3" s="8">
        <f>(11451+6226+12795)/3</f>
        <v>10157.333333333334</v>
      </c>
      <c r="AI3" s="8">
        <f>(12747+1011+6824)/3</f>
        <v>6860.666666666667</v>
      </c>
      <c r="AJ3" s="17">
        <f>(8364+6365+10935)/3</f>
        <v>8554.6666666666661</v>
      </c>
      <c r="AK3" s="30"/>
      <c r="AL3" s="19"/>
      <c r="AM3" s="8">
        <f>(11789+8342+15892)/3</f>
        <v>12007.666666666666</v>
      </c>
      <c r="AN3" s="48">
        <v>4983.666666666667</v>
      </c>
      <c r="AO3" s="8">
        <f>(8677+4712+12221)/3</f>
        <v>8536.6666666666661</v>
      </c>
      <c r="AP3" s="17">
        <f>(13205+13582+6429)/3</f>
        <v>11072</v>
      </c>
      <c r="AQ3" s="30"/>
      <c r="AR3" s="30"/>
      <c r="AS3" s="19"/>
      <c r="AT3" s="8">
        <f>(11640+9005+15783)/3</f>
        <v>12142.666666666666</v>
      </c>
      <c r="AU3" s="48">
        <f>(4932+3265+6956)/3</f>
        <v>5051</v>
      </c>
      <c r="AV3" s="8">
        <f>(7740+5333+12057)/3</f>
        <v>8376.6666666666661</v>
      </c>
      <c r="AW3" s="17">
        <f>(12930+9766+6299)/3</f>
        <v>9665</v>
      </c>
      <c r="AX3" s="30"/>
      <c r="AY3" s="32"/>
      <c r="AZ3" s="8">
        <f>(9112+6505+12773)/3</f>
        <v>9463.3333333333339</v>
      </c>
      <c r="BA3" s="8">
        <f>(11185+7589+14316)/3</f>
        <v>11030</v>
      </c>
      <c r="BB3" s="48">
        <f>(6182+3448+7936)/3</f>
        <v>5855.333333333333</v>
      </c>
      <c r="BC3" s="8">
        <f>(10266+4876+6832)/3</f>
        <v>7324.666666666667</v>
      </c>
      <c r="BD3" s="17">
        <f>(10757+6681+8474)/3</f>
        <v>8637.3333333333339</v>
      </c>
      <c r="BE3" s="30"/>
      <c r="BF3" s="32"/>
      <c r="BG3" s="8">
        <f>(7887+3742+6560)/3</f>
        <v>6063</v>
      </c>
      <c r="BH3" s="8">
        <f>(10818+7628+14565)/3</f>
        <v>11003.666666666666</v>
      </c>
      <c r="BI3" s="48">
        <f>(8347+5056+12174)/3</f>
        <v>8525.6666666666661</v>
      </c>
      <c r="BJ3" s="30">
        <f>(11587+5895+9199)/3</f>
        <v>8893.6666666666661</v>
      </c>
      <c r="BK3" s="17">
        <f>(8730+5710+11823)/3</f>
        <v>8754.3333333333339</v>
      </c>
      <c r="BL3" s="30"/>
      <c r="BM3" s="32"/>
      <c r="BN3" s="8">
        <f>(11701+9375+13203)/3</f>
        <v>11426.333333333334</v>
      </c>
      <c r="BO3" s="8">
        <f>(10932+6904+13897)/3</f>
        <v>10577.666666666666</v>
      </c>
      <c r="BP3" s="48">
        <f>(8658+5182+11222)/3</f>
        <v>8354</v>
      </c>
      <c r="BQ3" s="30">
        <f>(12911+9898+6471)/3</f>
        <v>9760</v>
      </c>
      <c r="BR3" s="17">
        <f>(12947+9443+6264)/3</f>
        <v>9551.3333333333339</v>
      </c>
      <c r="BS3" s="30"/>
      <c r="BT3" s="32"/>
      <c r="BU3" s="8">
        <f>(12234+8454+14059)/3</f>
        <v>11582.333333333334</v>
      </c>
      <c r="BV3" s="8">
        <f>(10350+8016+13551)/3</f>
        <v>10639</v>
      </c>
      <c r="BW3" s="48">
        <f>(5037+3881+10651)/3</f>
        <v>6523</v>
      </c>
      <c r="BX3" s="30">
        <f>(9473+6337+11609)/3</f>
        <v>9139.6666666666661</v>
      </c>
      <c r="BY3" s="17">
        <v>9284</v>
      </c>
      <c r="BZ3" s="8"/>
      <c r="CA3" s="26"/>
      <c r="CB3" s="8">
        <f>(10481+8159+12812)/3</f>
        <v>10484</v>
      </c>
      <c r="CC3" s="8">
        <f>(10530+7464+12697)/3</f>
        <v>10230.333333333334</v>
      </c>
      <c r="CD3" s="48">
        <f>(5172+3695+11244)/3</f>
        <v>6703.666666666667</v>
      </c>
      <c r="CE3" s="8">
        <f>(10074+6644+12153)/3</f>
        <v>9623.6666666666661</v>
      </c>
      <c r="CF3" s="17">
        <f>(9533+5994+12365)/3</f>
        <v>9297.3333333333339</v>
      </c>
      <c r="CG3" s="8"/>
      <c r="CH3" s="26"/>
    </row>
    <row r="4" spans="1:86" x14ac:dyDescent="0.25">
      <c r="A4">
        <v>106</v>
      </c>
      <c r="B4" s="7" t="s">
        <v>15</v>
      </c>
      <c r="C4" s="19"/>
      <c r="D4" s="8">
        <f>(13914+7861+14226)/3</f>
        <v>12000.333333333334</v>
      </c>
      <c r="E4" s="50">
        <f>(11886+10232+12389)/3</f>
        <v>11502.333333333334</v>
      </c>
      <c r="F4" s="8">
        <f>(11910+4193+7639)/3</f>
        <v>7914</v>
      </c>
      <c r="G4" s="8">
        <f>(12463+9043+5474)/3</f>
        <v>8993.3333333333339</v>
      </c>
      <c r="H4" s="17">
        <f>(9809+6445+12067)/3</f>
        <v>9440.3333333333339</v>
      </c>
      <c r="I4" s="32"/>
      <c r="J4" s="8"/>
      <c r="K4" s="8">
        <f>(11632+8412+15690)/3</f>
        <v>11911.333333333334</v>
      </c>
      <c r="L4" s="50">
        <f>(10280+7414+12704)/3</f>
        <v>10132.666666666666</v>
      </c>
      <c r="M4" s="8">
        <f>(11832+5198+2392)/3</f>
        <v>6474</v>
      </c>
      <c r="N4" s="8">
        <f>(8939+7335+12518)/3</f>
        <v>9597.3333333333339</v>
      </c>
      <c r="O4" s="17">
        <f>(10257+5944+12673)/3</f>
        <v>9624.6666666666661</v>
      </c>
      <c r="P4" s="30"/>
      <c r="Q4" s="19"/>
      <c r="R4" s="8">
        <f>(12526+8430+15279)/3</f>
        <v>12078.333333333334</v>
      </c>
      <c r="S4" s="48">
        <f>(4411+3927+8572)/3</f>
        <v>5636.666666666667</v>
      </c>
      <c r="T4" s="8"/>
      <c r="U4" s="8">
        <f>(12088+5147+9478)/3</f>
        <v>8904.3333333333339</v>
      </c>
      <c r="V4" s="17">
        <f>(10199+6299+14385)/3</f>
        <v>10294.333333333334</v>
      </c>
      <c r="W4" s="8"/>
      <c r="X4" s="19"/>
      <c r="Y4" s="8">
        <f>(14227+7946+16825)/3</f>
        <v>12999.333333333334</v>
      </c>
      <c r="Z4" s="8">
        <v>2283.6666666666665</v>
      </c>
      <c r="AA4" s="49">
        <f>(11081+5275+2607)/3</f>
        <v>6321</v>
      </c>
      <c r="AB4" s="8">
        <f>(13415+9530+6113)/3</f>
        <v>9686</v>
      </c>
      <c r="AC4" s="17">
        <f>(9598+6218+12422)/3</f>
        <v>9412.6666666666661</v>
      </c>
      <c r="AD4" s="30"/>
      <c r="AE4" s="19"/>
      <c r="AF4" s="8">
        <f>(12002+10943+16491)/3</f>
        <v>13145.333333333334</v>
      </c>
      <c r="AG4" s="48">
        <v>5910</v>
      </c>
      <c r="AH4" s="8">
        <f>(12737+6029+14110)/3</f>
        <v>10958.666666666666</v>
      </c>
      <c r="AI4" s="8">
        <f>(13287+10703+6717)/3</f>
        <v>10235.666666666666</v>
      </c>
      <c r="AJ4" s="17">
        <f>(10627+7086+12955)/3</f>
        <v>10222.666666666666</v>
      </c>
      <c r="AK4" s="30"/>
      <c r="AL4" s="19"/>
      <c r="AM4" s="8">
        <f>(12511)</f>
        <v>12511</v>
      </c>
      <c r="AN4" s="48">
        <v>5834.666666666667</v>
      </c>
      <c r="AO4" s="8">
        <f>(10520+5572+14633)/3</f>
        <v>10241.666666666666</v>
      </c>
      <c r="AP4" s="17">
        <f>(14004+14564+6393)/3</f>
        <v>11653.666666666666</v>
      </c>
      <c r="AQ4" s="30"/>
      <c r="AR4" s="30"/>
      <c r="AS4" s="19"/>
      <c r="AT4" s="8">
        <f>(12281+9091+17102)/3</f>
        <v>12824.666666666666</v>
      </c>
      <c r="AU4" s="48">
        <f>(5857+3439+7552)/3</f>
        <v>5616</v>
      </c>
      <c r="AV4" s="8">
        <f>(9361+6317+13892)/3</f>
        <v>9856.6666666666661</v>
      </c>
      <c r="AW4" s="17">
        <f>(13825+10629+6134)/3</f>
        <v>10196</v>
      </c>
      <c r="AX4" s="30"/>
      <c r="AY4" s="32"/>
      <c r="AZ4" s="8">
        <f>(10158+7158+13431)/3</f>
        <v>10249</v>
      </c>
      <c r="BA4" s="8">
        <f>(12200+7634+14901)/3</f>
        <v>11578.333333333334</v>
      </c>
      <c r="BB4" s="48">
        <f>(6815+3564+8285)/3</f>
        <v>6221.333333333333</v>
      </c>
      <c r="BC4" s="8">
        <f>(12035+5685+8485)/3</f>
        <v>8735</v>
      </c>
      <c r="BD4" s="17">
        <f>(11520+8780+7105)/3</f>
        <v>9135</v>
      </c>
      <c r="BE4" s="30"/>
      <c r="BF4" s="32"/>
      <c r="BG4" s="8">
        <f>(8536+4038+7258)/3</f>
        <v>6610.666666666667</v>
      </c>
      <c r="BH4" s="8">
        <f>(12044+7495+15917)/3</f>
        <v>11818.666666666666</v>
      </c>
      <c r="BI4" s="48">
        <f>(8821+4803+12894)/3</f>
        <v>8839.3333333333339</v>
      </c>
      <c r="BJ4" s="30">
        <f>(13593+11090+6125)/3</f>
        <v>10269.333333333334</v>
      </c>
      <c r="BK4" s="17">
        <f>(9662+6252+13182)/3</f>
        <v>9698.6666666666661</v>
      </c>
      <c r="BL4" s="30"/>
      <c r="BM4" s="32"/>
      <c r="BN4" s="8">
        <f>(12717+10182+5103)/3</f>
        <v>9334</v>
      </c>
      <c r="BO4" s="8">
        <f>(13067+7898+15329)/3</f>
        <v>12098</v>
      </c>
      <c r="BP4" s="48">
        <f>(9258+5521+12540)/3</f>
        <v>9106.3333333333339</v>
      </c>
      <c r="BQ4" s="30">
        <f>(14194+10749+7063)/3</f>
        <v>10668.666666666666</v>
      </c>
      <c r="BR4" s="17">
        <f>(13353+10207+6347)/3</f>
        <v>9969</v>
      </c>
      <c r="BS4" s="30"/>
      <c r="BT4" s="32"/>
      <c r="BU4" s="8">
        <f>(13614+9849+15461)/3</f>
        <v>12974.666666666666</v>
      </c>
      <c r="BV4" s="8">
        <f>(11398+8603+14648)/3</f>
        <v>11549.666666666666</v>
      </c>
      <c r="BW4" s="48">
        <f>(5131+3521+11897)/3</f>
        <v>6849.666666666667</v>
      </c>
      <c r="BX4" s="30">
        <f>(10566+6676+13198)/3</f>
        <v>10146.666666666666</v>
      </c>
      <c r="BY4" s="17">
        <v>9900</v>
      </c>
      <c r="BZ4" s="8"/>
      <c r="CA4" s="26"/>
      <c r="CB4" s="8">
        <f>(12390+8868+14409)/3</f>
        <v>11889</v>
      </c>
      <c r="CC4" s="8">
        <f>(12151+8430+14302)/3</f>
        <v>11627.666666666666</v>
      </c>
      <c r="CD4" s="48">
        <f>(5261+3662+12690)/3</f>
        <v>7204.333333333333</v>
      </c>
      <c r="CE4" s="8">
        <f>(11302+7001+13423)/3</f>
        <v>10575.333333333334</v>
      </c>
      <c r="CF4" s="17">
        <f>(10501+6276+13473)/3</f>
        <v>10083.333333333334</v>
      </c>
      <c r="CG4" s="8"/>
      <c r="CH4" s="26"/>
    </row>
    <row r="5" spans="1:86" x14ac:dyDescent="0.25">
      <c r="A5">
        <v>106</v>
      </c>
      <c r="B5" s="41" t="s">
        <v>47</v>
      </c>
      <c r="C5" s="19"/>
      <c r="D5" s="8"/>
      <c r="E5" s="50"/>
      <c r="F5" s="8"/>
      <c r="G5" s="8">
        <f>(8640+5628+3842)/3</f>
        <v>6036.666666666667</v>
      </c>
      <c r="H5" s="17">
        <f>(5880+4714+7599)/3</f>
        <v>6064.333333333333</v>
      </c>
      <c r="I5" s="32"/>
      <c r="J5" s="8"/>
      <c r="K5" s="8"/>
      <c r="L5" s="50"/>
      <c r="M5" s="8"/>
      <c r="N5" s="8">
        <f>(5656+5264+8442)/3</f>
        <v>6454</v>
      </c>
      <c r="O5" s="17">
        <f>(5948+4162+8205)/3</f>
        <v>6105</v>
      </c>
      <c r="P5" s="30"/>
      <c r="Q5" s="19"/>
      <c r="R5" s="8"/>
      <c r="S5" s="48"/>
      <c r="T5" s="8"/>
      <c r="U5" s="8">
        <f>(8743+3546+6738)/3</f>
        <v>6342.333333333333</v>
      </c>
      <c r="V5" s="17">
        <f>(5977+3679+9076)/3</f>
        <v>6244</v>
      </c>
      <c r="W5" s="8"/>
      <c r="X5" s="19"/>
      <c r="Y5" s="8"/>
      <c r="Z5" s="8"/>
      <c r="AA5" s="49"/>
      <c r="AB5" s="8">
        <f>(9480+5841+3955)/3</f>
        <v>6425.333333333333</v>
      </c>
      <c r="AC5" s="17">
        <f>(5156+3456+7240)/3</f>
        <v>5284</v>
      </c>
      <c r="AD5" s="30"/>
      <c r="AE5" s="19"/>
      <c r="AF5" s="8"/>
      <c r="AG5" s="48"/>
      <c r="AH5" s="8"/>
      <c r="AI5" s="8">
        <f>(8301+5937+4173)/3</f>
        <v>6137</v>
      </c>
      <c r="AJ5" s="17">
        <f>(6275+4461+8192)/3</f>
        <v>6309.333333333333</v>
      </c>
      <c r="AK5" s="30"/>
      <c r="AL5" s="19"/>
      <c r="AM5" s="8"/>
      <c r="AN5" s="48"/>
      <c r="AO5" s="8"/>
      <c r="AP5" s="17">
        <f>(9025+10182+4295)/3</f>
        <v>7834</v>
      </c>
      <c r="AQ5" s="30"/>
      <c r="AR5" s="30"/>
      <c r="AS5" s="19"/>
      <c r="AT5" s="8"/>
      <c r="AU5" s="48"/>
      <c r="AV5" s="8"/>
      <c r="AW5" s="17">
        <f>(9688+6363+4352)/3</f>
        <v>6801</v>
      </c>
      <c r="AX5" s="30"/>
      <c r="AY5" s="32"/>
      <c r="AZ5" s="8"/>
      <c r="BA5" s="8"/>
      <c r="BB5" s="48"/>
      <c r="BC5" s="8"/>
      <c r="BD5" s="17">
        <f>(6775+5130+4466)/3</f>
        <v>5457</v>
      </c>
      <c r="BE5" s="30"/>
      <c r="BF5" s="32"/>
      <c r="BG5" s="8"/>
      <c r="BH5" s="8"/>
      <c r="BI5" s="48"/>
      <c r="BJ5" s="30"/>
      <c r="BK5" s="17">
        <f>(5544+3741+8258)/3</f>
        <v>5847.666666666667</v>
      </c>
      <c r="BL5" s="30"/>
      <c r="BM5" s="32"/>
      <c r="BN5" s="8"/>
      <c r="BO5" s="8"/>
      <c r="BP5" s="48"/>
      <c r="BQ5" s="30"/>
      <c r="BR5" s="17">
        <f>(5590+3457+8134)/3</f>
        <v>5727</v>
      </c>
      <c r="BS5" s="30"/>
      <c r="BT5" s="32"/>
      <c r="BU5" s="8"/>
      <c r="BV5" s="8"/>
      <c r="BW5" s="48"/>
      <c r="BX5" s="30"/>
      <c r="BY5" s="17">
        <v>6053</v>
      </c>
      <c r="BZ5" s="8"/>
      <c r="CA5" s="26"/>
      <c r="CB5" s="8"/>
      <c r="CC5" s="8"/>
      <c r="CD5" s="48"/>
      <c r="CE5" s="8">
        <f>(7536+4855+9664)/3</f>
        <v>7351.666666666667</v>
      </c>
      <c r="CF5" s="17">
        <f>(6684+3926+8874)/3</f>
        <v>6494.666666666667</v>
      </c>
      <c r="CG5" s="8"/>
      <c r="CH5" s="26"/>
    </row>
    <row r="6" spans="1:86" x14ac:dyDescent="0.25">
      <c r="A6">
        <v>106</v>
      </c>
      <c r="B6" s="41" t="s">
        <v>48</v>
      </c>
      <c r="C6" s="19"/>
      <c r="D6" s="8"/>
      <c r="E6" s="50"/>
      <c r="F6" s="8"/>
      <c r="G6" s="8">
        <f>(8381+5460+4072)/3</f>
        <v>5971</v>
      </c>
      <c r="H6" s="17">
        <f>(5843+4619+7630)/3</f>
        <v>6030.666666666667</v>
      </c>
      <c r="I6" s="32"/>
      <c r="J6" s="8"/>
      <c r="K6" s="8"/>
      <c r="L6" s="50"/>
      <c r="M6" s="8"/>
      <c r="N6" s="8">
        <f>(5484+6024+8608)/3</f>
        <v>6705.333333333333</v>
      </c>
      <c r="O6" s="17">
        <f>(6166+4423+8337)/3</f>
        <v>6308.666666666667</v>
      </c>
      <c r="P6" s="30"/>
      <c r="Q6" s="19"/>
      <c r="R6" s="8"/>
      <c r="S6" s="48"/>
      <c r="T6" s="8"/>
      <c r="U6" s="8">
        <f>(8810+3780+6610)/3</f>
        <v>6400</v>
      </c>
      <c r="V6" s="17">
        <f>(5978+3993+9847)/3</f>
        <v>6606</v>
      </c>
      <c r="W6" s="8"/>
      <c r="X6" s="19"/>
      <c r="Y6" s="8"/>
      <c r="Z6" s="8"/>
      <c r="AA6" s="49"/>
      <c r="AB6" s="8">
        <f>(9789+5860+4274)/3</f>
        <v>6641</v>
      </c>
      <c r="AC6" s="17">
        <f>(5953+4275+8444)/3</f>
        <v>6224</v>
      </c>
      <c r="AD6" s="30"/>
      <c r="AE6" s="19"/>
      <c r="AF6" s="8"/>
      <c r="AG6" s="48"/>
      <c r="AH6" s="8"/>
      <c r="AI6" s="8">
        <f>(8930+4671+6185)/3</f>
        <v>6595.333333333333</v>
      </c>
      <c r="AJ6" s="17">
        <f>(7744+5170+9721)/3</f>
        <v>7545</v>
      </c>
      <c r="AK6" s="30"/>
      <c r="AL6" s="19"/>
      <c r="AM6" s="8"/>
      <c r="AN6" s="48"/>
      <c r="AO6" s="8"/>
      <c r="AP6" s="17">
        <f>(9220+10631+4222)/3</f>
        <v>8024.333333333333</v>
      </c>
      <c r="AQ6" s="30"/>
      <c r="AR6" s="30"/>
      <c r="AS6" s="19"/>
      <c r="AT6" s="8"/>
      <c r="AU6" s="48"/>
      <c r="AV6" s="8"/>
      <c r="AW6" s="17">
        <f>(8935+6208+4625)/3</f>
        <v>6589.333333333333</v>
      </c>
      <c r="AX6" s="30"/>
      <c r="AY6" s="32"/>
      <c r="AZ6" s="8"/>
      <c r="BA6" s="8"/>
      <c r="BB6" s="48"/>
      <c r="BC6" s="8"/>
      <c r="BD6" s="17">
        <f>(6955+5037+4770)/3</f>
        <v>5587.333333333333</v>
      </c>
      <c r="BE6" s="30"/>
      <c r="BF6" s="32"/>
      <c r="BG6" s="8"/>
      <c r="BH6" s="8"/>
      <c r="BI6" s="48"/>
      <c r="BJ6" s="30"/>
      <c r="BK6" s="17">
        <f>(5930+4194+9114)/3</f>
        <v>6412.666666666667</v>
      </c>
      <c r="BL6" s="30"/>
      <c r="BM6" s="32"/>
      <c r="BN6" s="8"/>
      <c r="BO6" s="8"/>
      <c r="BP6" s="48"/>
      <c r="BQ6" s="30"/>
      <c r="BR6" s="17">
        <f>(6305+3784+8785)/3</f>
        <v>6291.333333333333</v>
      </c>
      <c r="BS6" s="30"/>
      <c r="BT6" s="32"/>
      <c r="BU6" s="8"/>
      <c r="BV6" s="8"/>
      <c r="BW6" s="48"/>
      <c r="BX6" s="30"/>
      <c r="BY6" s="17">
        <v>6175</v>
      </c>
      <c r="BZ6" s="8"/>
      <c r="CA6" s="26"/>
      <c r="CB6" s="8"/>
      <c r="CC6" s="8"/>
      <c r="CD6" s="48"/>
      <c r="CE6" s="8">
        <f>(7118+4898+9291)/3</f>
        <v>7102.333333333333</v>
      </c>
      <c r="CF6" s="17">
        <f>(6145+3849+8920)/3</f>
        <v>6304.666666666667</v>
      </c>
      <c r="CG6" s="8"/>
      <c r="CH6" s="26"/>
    </row>
    <row r="7" spans="1:86" x14ac:dyDescent="0.25">
      <c r="A7">
        <v>106</v>
      </c>
      <c r="B7" s="41" t="s">
        <v>49</v>
      </c>
      <c r="C7" s="19"/>
      <c r="D7" s="8"/>
      <c r="E7" s="50"/>
      <c r="F7" s="8"/>
      <c r="G7" s="8">
        <f>(9601+6578+4348)/3</f>
        <v>6842.333333333333</v>
      </c>
      <c r="H7" s="17">
        <f>(7853+6402+9077)/3</f>
        <v>7777.333333333333</v>
      </c>
      <c r="I7" s="32"/>
      <c r="J7" s="8"/>
      <c r="K7" s="8"/>
      <c r="L7" s="50"/>
      <c r="M7" s="8"/>
      <c r="N7" s="8">
        <f>(6259+6269+8908)/3</f>
        <v>7145.333333333333</v>
      </c>
      <c r="O7" s="17">
        <f>(8035+4999+9650)/3</f>
        <v>7561.333333333333</v>
      </c>
      <c r="P7" s="30"/>
      <c r="Q7" s="19"/>
      <c r="R7" s="8"/>
      <c r="S7" s="48"/>
      <c r="T7" s="8"/>
      <c r="U7" s="8">
        <f>(8742+3885+7670)/3</f>
        <v>6765.666666666667</v>
      </c>
      <c r="V7" s="17">
        <f>(7364+4486+10716)/3</f>
        <v>7522</v>
      </c>
      <c r="W7" s="8"/>
      <c r="X7" s="19"/>
      <c r="Y7" s="8"/>
      <c r="Z7" s="8"/>
      <c r="AA7" s="49"/>
      <c r="AB7" s="8">
        <f>(10144+6955+4674)/3</f>
        <v>7257.666666666667</v>
      </c>
      <c r="AC7" s="17">
        <f>(6257+4339+7828)/3</f>
        <v>6141.333333333333</v>
      </c>
      <c r="AD7" s="30"/>
      <c r="AE7" s="19"/>
      <c r="AF7" s="8"/>
      <c r="AG7" s="48"/>
      <c r="AH7" s="8"/>
      <c r="AI7" s="8">
        <f>(8504+6648+5161)/3</f>
        <v>6771</v>
      </c>
      <c r="AJ7" s="17">
        <f>(8016+5557+8809)/3</f>
        <v>7460.666666666667</v>
      </c>
      <c r="AK7" s="30"/>
      <c r="AL7" s="19"/>
      <c r="AM7" s="8"/>
      <c r="AN7" s="48"/>
      <c r="AO7" s="8"/>
      <c r="AP7" s="17">
        <f>(9424+12967+5384)/3</f>
        <v>9258.3333333333339</v>
      </c>
      <c r="AQ7" s="30"/>
      <c r="AR7" s="30"/>
      <c r="AS7" s="19"/>
      <c r="AT7" s="8"/>
      <c r="AU7" s="48"/>
      <c r="AV7" s="8"/>
      <c r="AW7" s="17">
        <f>(10433+7436+5359)/3</f>
        <v>7742.666666666667</v>
      </c>
      <c r="AX7" s="30"/>
      <c r="AY7" s="32"/>
      <c r="AZ7" s="8"/>
      <c r="BA7" s="8"/>
      <c r="BB7" s="48"/>
      <c r="BC7" s="8"/>
      <c r="BD7" s="17">
        <f>(7557+5774+5380)/3</f>
        <v>6237</v>
      </c>
      <c r="BE7" s="30"/>
      <c r="BF7" s="32"/>
      <c r="BG7" s="8"/>
      <c r="BH7" s="8"/>
      <c r="BI7" s="48"/>
      <c r="BJ7" s="30"/>
      <c r="BK7" s="17">
        <f>(6662+4555+8959)/3</f>
        <v>6725.333333333333</v>
      </c>
      <c r="BL7" s="30"/>
      <c r="BM7" s="32"/>
      <c r="BN7" s="8"/>
      <c r="BO7" s="8"/>
      <c r="BP7" s="48"/>
      <c r="BQ7" s="30"/>
      <c r="BR7" s="17">
        <f>(6791+4275+9338)/3</f>
        <v>6801.333333333333</v>
      </c>
      <c r="BS7" s="30"/>
      <c r="BT7" s="32"/>
      <c r="BU7" s="8"/>
      <c r="BV7" s="8"/>
      <c r="BW7" s="48"/>
      <c r="BX7" s="30"/>
      <c r="BY7" s="17">
        <v>7332</v>
      </c>
      <c r="BZ7" s="8"/>
      <c r="CA7" s="26"/>
      <c r="CB7" s="8"/>
      <c r="CC7" s="8"/>
      <c r="CD7" s="48"/>
      <c r="CE7" s="8">
        <f>(8419+5562+10477)/3</f>
        <v>8152.666666666667</v>
      </c>
      <c r="CF7" s="17">
        <f>(8412+5068+10792)/3</f>
        <v>8090.666666666667</v>
      </c>
      <c r="CG7" s="8"/>
      <c r="CH7" s="26"/>
    </row>
    <row r="8" spans="1:86" x14ac:dyDescent="0.25">
      <c r="A8">
        <v>103</v>
      </c>
      <c r="B8" s="7" t="s">
        <v>16</v>
      </c>
      <c r="C8" s="19">
        <f>(8422+8812+4349)/3</f>
        <v>7194.333333333333</v>
      </c>
      <c r="D8" s="8">
        <f>(8521+14550+4738)/3</f>
        <v>9269.6666666666661</v>
      </c>
      <c r="E8" s="50">
        <f>(9150+8157+5133)/3</f>
        <v>7480</v>
      </c>
      <c r="F8" s="8">
        <f>(3072+1393+1994)/3</f>
        <v>2153</v>
      </c>
      <c r="G8" s="8">
        <f>(3720+2982+1967)/3</f>
        <v>2889.6666666666665</v>
      </c>
      <c r="H8" s="17">
        <f>(2599+1755+3987)/3</f>
        <v>2780.3333333333335</v>
      </c>
      <c r="I8" s="32"/>
      <c r="J8" s="8">
        <f>(9019+8459+3699)/3</f>
        <v>7059</v>
      </c>
      <c r="K8" s="8">
        <f>(9151+12864+6715)/3</f>
        <v>9576.6666666666661</v>
      </c>
      <c r="L8" s="50">
        <f>(6936+6138+3462)/3</f>
        <v>5512</v>
      </c>
      <c r="M8" s="8">
        <f>(3004+1378+1002)/3</f>
        <v>1794.6666666666667</v>
      </c>
      <c r="N8" s="8">
        <f>(4132+3461+4146)/3</f>
        <v>3913</v>
      </c>
      <c r="O8" s="17">
        <f>(2950+1973+3804)/3</f>
        <v>2909</v>
      </c>
      <c r="P8" s="30"/>
      <c r="Q8" s="19">
        <f>(8469+9662+4540)/3</f>
        <v>7557</v>
      </c>
      <c r="R8" s="8">
        <f>(9670+6334+4587)/3</f>
        <v>6863.666666666667</v>
      </c>
      <c r="S8" s="48">
        <f>(4596+6658+2224)/3</f>
        <v>4492.666666666667</v>
      </c>
      <c r="T8" s="8"/>
      <c r="U8" s="8">
        <f>(3198+3926+1831)/3</f>
        <v>2985</v>
      </c>
      <c r="V8" s="17">
        <f>(3304+2730+5140)/3</f>
        <v>3724.6666666666665</v>
      </c>
      <c r="W8" s="8"/>
      <c r="X8" s="19">
        <f>(8048+6809+3701)/3</f>
        <v>6186</v>
      </c>
      <c r="Y8" s="8">
        <f>(10056+13352+4900)/3</f>
        <v>9436</v>
      </c>
      <c r="Z8" s="8">
        <v>1934</v>
      </c>
      <c r="AA8" s="49">
        <f>(2797+1457+1096)/3</f>
        <v>1783.3333333333333</v>
      </c>
      <c r="AB8" s="8"/>
      <c r="AC8" s="17">
        <f>(3666+3258+4823)/3</f>
        <v>3915.6666666666665</v>
      </c>
      <c r="AD8" s="30"/>
      <c r="AE8" s="19">
        <f>(8127+6979+2307)/3</f>
        <v>5804.333333333333</v>
      </c>
      <c r="AF8" s="8">
        <f>(9952+7203+4868)/3</f>
        <v>7341</v>
      </c>
      <c r="AG8" s="48">
        <v>3301.3333333333335</v>
      </c>
      <c r="AH8" s="8">
        <f>(2470+1801+4823)/3</f>
        <v>3031.3333333333335</v>
      </c>
      <c r="AI8" s="8">
        <f>(3908+3057+1952)/3</f>
        <v>2972.3333333333335</v>
      </c>
      <c r="AJ8" s="17">
        <f>(2948+2549+3753)/3</f>
        <v>3083.3333333333335</v>
      </c>
      <c r="AK8" s="30"/>
      <c r="AL8" s="19">
        <f>(8066+6693+3533)/3</f>
        <v>6097.333333333333</v>
      </c>
      <c r="AM8" s="8">
        <f>(9483+8113+5762)/3</f>
        <v>7786</v>
      </c>
      <c r="AN8" s="48"/>
      <c r="AO8" s="8">
        <f>(2387+1618+3949)/3</f>
        <v>2651.3333333333335</v>
      </c>
      <c r="AP8" s="17"/>
      <c r="AQ8" s="30"/>
      <c r="AR8" s="30"/>
      <c r="AS8" s="19">
        <f>(8774+6454+3478)/3</f>
        <v>6235.333333333333</v>
      </c>
      <c r="AT8" s="8">
        <f>(8034+4220+8157)/3</f>
        <v>6803.666666666667</v>
      </c>
      <c r="AU8" s="48"/>
      <c r="AV8" s="8">
        <f>(3936+1749+2928)/3</f>
        <v>2871</v>
      </c>
      <c r="AW8" s="17">
        <f>(3571+3004+3374)/3</f>
        <v>3316.3333333333335</v>
      </c>
      <c r="AX8" s="30"/>
      <c r="AY8" s="32"/>
      <c r="AZ8" s="8">
        <f>(7343+7480+3551)/3</f>
        <v>6124.666666666667</v>
      </c>
      <c r="BA8" s="8">
        <f>(5139+2820+6484)/3</f>
        <v>4814.333333333333</v>
      </c>
      <c r="BB8" s="48"/>
      <c r="BC8" s="8">
        <f>(2805+2272+4472)/3</f>
        <v>3183</v>
      </c>
      <c r="BD8" s="17">
        <f>(4543+5217+2363)/3</f>
        <v>4041</v>
      </c>
      <c r="BE8" s="30"/>
      <c r="BF8" s="32"/>
      <c r="BG8" s="8"/>
      <c r="BH8" s="8">
        <f>(6484+3501+7455)/3</f>
        <v>5813.333333333333</v>
      </c>
      <c r="BI8" s="48">
        <f>(2369+1618+2701)/3</f>
        <v>2229.3333333333335</v>
      </c>
      <c r="BJ8" s="34">
        <f>(2657+1347+1731)/3</f>
        <v>1911.6666666666667</v>
      </c>
      <c r="BK8" s="17">
        <f>(3300+3500+5430)/3</f>
        <v>4076.6666666666665</v>
      </c>
      <c r="BL8" s="30"/>
      <c r="BM8" s="32"/>
      <c r="BN8" s="8">
        <f>(9529+5127+9884)/3</f>
        <v>8180</v>
      </c>
      <c r="BO8" s="8">
        <f>(5914+3770+7596)/3</f>
        <v>5760</v>
      </c>
      <c r="BP8" s="48">
        <f>(2296+1808+2938)/3</f>
        <v>2347.3333333333335</v>
      </c>
      <c r="BQ8" s="34">
        <f>(4550+2548+1475)/3</f>
        <v>2857.6666666666665</v>
      </c>
      <c r="BR8" s="17">
        <f>(3251+1814+4636)/3</f>
        <v>3233.6666666666665</v>
      </c>
      <c r="BS8" s="30"/>
      <c r="BT8" s="32"/>
      <c r="BU8" s="8">
        <f>(7588+3972+8688)/3</f>
        <v>6749.333333333333</v>
      </c>
      <c r="BV8" s="8">
        <f>(7342+4471+8496)/3</f>
        <v>6769.666666666667</v>
      </c>
      <c r="BW8" s="48">
        <f>(1871+1338+2740)/3</f>
        <v>1983</v>
      </c>
      <c r="BX8" s="30">
        <f>(3020+3011+4490)/3</f>
        <v>3507</v>
      </c>
      <c r="BY8" s="17">
        <v>2712</v>
      </c>
      <c r="BZ8" s="8"/>
      <c r="CA8" s="26"/>
      <c r="CB8" s="8">
        <f>(9761+5016+11538)/3</f>
        <v>8771.6666666666661</v>
      </c>
      <c r="CC8" s="8">
        <f>(7397+5098+9252)/3</f>
        <v>7249</v>
      </c>
      <c r="CD8" s="48">
        <f>(1552+1176+3050)/3</f>
        <v>1926</v>
      </c>
      <c r="CE8" s="8">
        <f>(3847+2234+6548)/3</f>
        <v>4209.666666666667</v>
      </c>
      <c r="CF8" s="17">
        <f>(2941+1849+4044)/3</f>
        <v>2944.6666666666665</v>
      </c>
      <c r="CG8" s="8"/>
      <c r="CH8" s="26"/>
    </row>
    <row r="9" spans="1:86" x14ac:dyDescent="0.25">
      <c r="A9">
        <v>103</v>
      </c>
      <c r="B9" s="7" t="s">
        <v>17</v>
      </c>
      <c r="C9" s="19">
        <f>(8169+9598+11120)/3</f>
        <v>9629</v>
      </c>
      <c r="D9" s="8">
        <f>(9221+17260+9346)/3</f>
        <v>11942.333333333334</v>
      </c>
      <c r="E9" s="50">
        <f>(6131+2627+2395)/3</f>
        <v>3717.6666666666665</v>
      </c>
      <c r="F9" s="8">
        <f>(4568+1776+2816)/3</f>
        <v>3053.3333333333335</v>
      </c>
      <c r="G9" s="8">
        <f>(5479+4401+2479)/3</f>
        <v>4119.666666666667</v>
      </c>
      <c r="H9" s="17">
        <f>(3784+1961+4895)/3</f>
        <v>3546.6666666666665</v>
      </c>
      <c r="I9" s="32"/>
      <c r="J9" s="8">
        <f>(12780+9888+8089)/3</f>
        <v>10252.333333333334</v>
      </c>
      <c r="K9" s="8">
        <f>(10518+15136+8599)/3</f>
        <v>11417.666666666666</v>
      </c>
      <c r="L9" s="50">
        <f>(4405+3136+1917)/3</f>
        <v>3152.6666666666665</v>
      </c>
      <c r="M9" s="8">
        <f>(4232+1834+1301)/3</f>
        <v>2455.6666666666665</v>
      </c>
      <c r="N9" s="8">
        <f>(5852+3872+5450)/3</f>
        <v>5058</v>
      </c>
      <c r="O9" s="17">
        <f>(3545+2190+4634)/3</f>
        <v>3456.3333333333335</v>
      </c>
      <c r="P9" s="30"/>
      <c r="Q9" s="19">
        <f>(11278+16422+9434)/3</f>
        <v>12378</v>
      </c>
      <c r="R9" s="8">
        <f>(11151+6595+5331)/3</f>
        <v>7692.333333333333</v>
      </c>
      <c r="S9" s="48">
        <f>(3940+3590+1929)/3</f>
        <v>3153</v>
      </c>
      <c r="T9" s="8"/>
      <c r="U9" s="8">
        <f>(5069+2294+5861)/3</f>
        <v>4408</v>
      </c>
      <c r="V9" s="17">
        <f>(4778+3102+6930)/3</f>
        <v>4936.666666666667</v>
      </c>
      <c r="W9" s="8"/>
      <c r="X9" s="19">
        <f>(10730+11344+4913)/3</f>
        <v>8995.6666666666661</v>
      </c>
      <c r="Y9" s="8">
        <f>(15089+21899+5830)/3</f>
        <v>14272.666666666666</v>
      </c>
      <c r="Z9" s="8">
        <v>2356</v>
      </c>
      <c r="AA9" s="49">
        <f>(3974+1928+1421)/3</f>
        <v>2441</v>
      </c>
      <c r="AB9" s="8"/>
      <c r="AC9" s="17">
        <f>(5296+3694+6729)/3</f>
        <v>5239.666666666667</v>
      </c>
      <c r="AD9" s="30"/>
      <c r="AE9" s="19">
        <f>(9310+6679+4170)/3</f>
        <v>6719.666666666667</v>
      </c>
      <c r="AF9" s="8">
        <f>(10258+6946+6013)/3</f>
        <v>7739</v>
      </c>
      <c r="AG9" s="48">
        <v>3726</v>
      </c>
      <c r="AH9" s="8">
        <f>(3599+2322+6749)/3</f>
        <v>4223.333333333333</v>
      </c>
      <c r="AI9" s="8">
        <f>(5438+4260+2312)/3</f>
        <v>4003.3333333333335</v>
      </c>
      <c r="AJ9" s="17">
        <f>(3781+2484+5712)/3</f>
        <v>3992.3333333333335</v>
      </c>
      <c r="AK9" s="30"/>
      <c r="AL9" s="19">
        <f>(7930+6552+5737)/3</f>
        <v>6739.666666666667</v>
      </c>
      <c r="AM9" s="8">
        <f>(9551+7790+6567)/3</f>
        <v>7969.333333333333</v>
      </c>
      <c r="AN9" s="48"/>
      <c r="AO9" s="8">
        <f>(3327+2015+6315)/3</f>
        <v>3885.6666666666665</v>
      </c>
      <c r="AP9" s="17"/>
      <c r="AQ9" s="30"/>
      <c r="AR9" s="30"/>
      <c r="AS9" s="19">
        <f>(10175+6339+4660)/3</f>
        <v>7058</v>
      </c>
      <c r="AT9" s="8">
        <f>(8365+4553+7756)/3</f>
        <v>6891.333333333333</v>
      </c>
      <c r="AU9" s="48"/>
      <c r="AV9" s="8">
        <f>(4556+1940+5119)/3</f>
        <v>3871.6666666666665</v>
      </c>
      <c r="AW9" s="17">
        <f>(4929+3686+3643)/3</f>
        <v>4086</v>
      </c>
      <c r="AX9" s="30"/>
      <c r="AY9" s="32"/>
      <c r="AZ9" s="8">
        <f>(8582+7775+4241)/3</f>
        <v>6866</v>
      </c>
      <c r="BA9" s="8">
        <f>(5328+4143+6386)/3</f>
        <v>5285.666666666667</v>
      </c>
      <c r="BB9" s="48"/>
      <c r="BC9" s="8">
        <f>(4344+2964+5719)/3</f>
        <v>4342.333333333333</v>
      </c>
      <c r="BD9" s="17">
        <f>(6487+6625+3185)/3</f>
        <v>5432.333333333333</v>
      </c>
      <c r="BE9" s="30"/>
      <c r="BF9" s="32"/>
      <c r="BG9" s="8"/>
      <c r="BH9" s="8">
        <f>(6117+4464+7678)/3</f>
        <v>6086.333333333333</v>
      </c>
      <c r="BI9" s="48">
        <f>(3389+1805+4754)/3</f>
        <v>3316</v>
      </c>
      <c r="BJ9" s="34">
        <f>(4529+1578+2533)/3</f>
        <v>2880</v>
      </c>
      <c r="BK9" s="17">
        <f>(4201+4125+7264)/3</f>
        <v>5196.666666666667</v>
      </c>
      <c r="BL9" s="30"/>
      <c r="BM9" s="32"/>
      <c r="BN9" s="8">
        <f>(11108+11751+13221)/3</f>
        <v>12026.666666666666</v>
      </c>
      <c r="BO9" s="8">
        <f>(6502+4426+7964)/3</f>
        <v>6297.333333333333</v>
      </c>
      <c r="BP9" s="48">
        <f>(3196+2088+4500)/3</f>
        <v>3261.3333333333335</v>
      </c>
      <c r="BQ9" s="34">
        <f>(5873+3755+1799)/3</f>
        <v>3809</v>
      </c>
      <c r="BR9" s="17">
        <f>(6138+1737+5840)/3</f>
        <v>4571.666666666667</v>
      </c>
      <c r="BS9" s="30"/>
      <c r="BT9" s="32"/>
      <c r="BU9" s="8">
        <f>(13166+12831+14626)/3</f>
        <v>13541</v>
      </c>
      <c r="BV9" s="8">
        <f>(4810+2593+5039)/3</f>
        <v>4147.333333333333</v>
      </c>
      <c r="BW9" s="48">
        <f>(2810+1581+4458)/3</f>
        <v>2949.6666666666665</v>
      </c>
      <c r="BX9" s="30">
        <f>(4640+3558+6288)/3</f>
        <v>4828.666666666667</v>
      </c>
      <c r="BY9" s="17">
        <v>3486</v>
      </c>
      <c r="BZ9" s="8"/>
      <c r="CA9" s="26"/>
      <c r="CB9" s="8">
        <f>(10352+4602+14756)/3</f>
        <v>9903.3333333333339</v>
      </c>
      <c r="CC9" s="8">
        <f>(2635+1846+3676)/3</f>
        <v>2719</v>
      </c>
      <c r="CD9" s="48">
        <f>(2445+1557+4890)/3</f>
        <v>2964</v>
      </c>
      <c r="CE9" s="8">
        <f>(5673+2283+9149)/3</f>
        <v>5701.666666666667</v>
      </c>
      <c r="CF9" s="17">
        <f>(3934+2241+5715)/3</f>
        <v>3963.3333333333335</v>
      </c>
      <c r="CG9" s="8"/>
      <c r="CH9" s="26"/>
    </row>
    <row r="10" spans="1:86" x14ac:dyDescent="0.25">
      <c r="A10">
        <v>103</v>
      </c>
      <c r="B10" s="41" t="s">
        <v>50</v>
      </c>
      <c r="C10" s="19"/>
      <c r="D10" s="8"/>
      <c r="E10" s="50"/>
      <c r="F10" s="8"/>
      <c r="G10" s="8">
        <f>(10689+9332+5764)/3</f>
        <v>8595</v>
      </c>
      <c r="H10" s="17">
        <f>(8261+4896+10333)/3</f>
        <v>7830</v>
      </c>
      <c r="I10" s="32"/>
      <c r="J10" s="8"/>
      <c r="K10" s="8"/>
      <c r="L10" s="50"/>
      <c r="M10" s="8"/>
      <c r="N10" s="8">
        <f>(11176+7879+11692)/3</f>
        <v>10249</v>
      </c>
      <c r="O10" s="17">
        <f>(8774+5875+10900)/3</f>
        <v>8516.3333333333339</v>
      </c>
      <c r="P10" s="30"/>
      <c r="Q10" s="19"/>
      <c r="R10" s="8"/>
      <c r="S10" s="48"/>
      <c r="T10" s="8"/>
      <c r="U10" s="8">
        <f>(9956+4659+8910)/3</f>
        <v>7841.666666666667</v>
      </c>
      <c r="V10" s="17"/>
      <c r="W10" s="8"/>
      <c r="X10" s="19"/>
      <c r="Y10" s="8"/>
      <c r="Z10" s="8"/>
      <c r="AA10" s="49"/>
      <c r="AB10" s="8"/>
      <c r="AC10" s="17">
        <f>(6570+5452+9236)/3</f>
        <v>7086</v>
      </c>
      <c r="AD10" s="30"/>
      <c r="AE10" s="19"/>
      <c r="AF10" s="8"/>
      <c r="AG10" s="48"/>
      <c r="AH10" s="8"/>
      <c r="AI10" s="8">
        <f>(10927+9966+5938)/3</f>
        <v>8943.6666666666661</v>
      </c>
      <c r="AJ10" s="17">
        <f>(9493+7101+11724)/3</f>
        <v>9439.3333333333339</v>
      </c>
      <c r="AK10" s="30"/>
      <c r="AL10" s="19"/>
      <c r="AM10" s="8"/>
      <c r="AN10" s="48"/>
      <c r="AO10" s="8"/>
      <c r="AP10" s="17"/>
      <c r="AQ10" s="30"/>
      <c r="AR10" s="30"/>
      <c r="AS10" s="19"/>
      <c r="AT10" s="8"/>
      <c r="AU10" s="48"/>
      <c r="AV10" s="8"/>
      <c r="AW10" s="17">
        <f>(9322+7758+7801)/3</f>
        <v>8293.6666666666661</v>
      </c>
      <c r="AX10" s="30"/>
      <c r="AY10" s="32"/>
      <c r="AZ10" s="8"/>
      <c r="BA10" s="8"/>
      <c r="BB10" s="48"/>
      <c r="BC10" s="8"/>
      <c r="BD10" s="17">
        <f>(12089+11919+7854)/3</f>
        <v>10620.666666666666</v>
      </c>
      <c r="BE10" s="30"/>
      <c r="BF10" s="32"/>
      <c r="BG10" s="8"/>
      <c r="BH10" s="8"/>
      <c r="BI10" s="48"/>
      <c r="BJ10" s="34"/>
      <c r="BK10" s="17">
        <f>(9225+9027+13505)/3</f>
        <v>10585.666666666666</v>
      </c>
      <c r="BL10" s="30"/>
      <c r="BM10" s="32"/>
      <c r="BN10" s="8"/>
      <c r="BO10" s="8"/>
      <c r="BP10" s="48"/>
      <c r="BQ10" s="34"/>
      <c r="BR10" s="17"/>
      <c r="BS10" s="30"/>
      <c r="BT10" s="32"/>
      <c r="BU10" s="8"/>
      <c r="BV10" s="8"/>
      <c r="BW10" s="48"/>
      <c r="BX10" s="30"/>
      <c r="BY10" s="17"/>
      <c r="BZ10" s="8"/>
      <c r="CA10" s="26"/>
      <c r="CB10" s="8"/>
      <c r="CC10" s="8"/>
      <c r="CD10" s="48"/>
      <c r="CE10" s="8">
        <f>(10777+6195+14388)/3</f>
        <v>10453.333333333334</v>
      </c>
      <c r="CF10" s="17">
        <f>(8411+5336+10824)/3</f>
        <v>8190.333333333333</v>
      </c>
      <c r="CG10" s="8"/>
      <c r="CH10" s="26"/>
    </row>
    <row r="11" spans="1:86" x14ac:dyDescent="0.25">
      <c r="A11">
        <v>103</v>
      </c>
      <c r="B11" s="41" t="s">
        <v>51</v>
      </c>
      <c r="C11" s="19"/>
      <c r="D11" s="8"/>
      <c r="E11" s="50"/>
      <c r="F11" s="8"/>
      <c r="G11" s="8">
        <f>(1778+1949+767)/3</f>
        <v>1498</v>
      </c>
      <c r="H11" s="17">
        <f>(1932+781+2014)/3</f>
        <v>1575.6666666666667</v>
      </c>
      <c r="I11" s="32"/>
      <c r="J11" s="8"/>
      <c r="K11" s="8"/>
      <c r="L11" s="50"/>
      <c r="M11" s="8"/>
      <c r="N11" s="8">
        <f>(2454+1079+1930)/3</f>
        <v>1821</v>
      </c>
      <c r="O11" s="17">
        <f>(1777+799+1905)/3</f>
        <v>1493.6666666666667</v>
      </c>
      <c r="P11" s="30"/>
      <c r="Q11" s="19"/>
      <c r="R11" s="8"/>
      <c r="S11" s="48"/>
      <c r="T11" s="8"/>
      <c r="U11" s="8">
        <f>(1420+393+2568)/3</f>
        <v>1460.3333333333333</v>
      </c>
      <c r="V11" s="17">
        <f>(2169+870+2603)/3</f>
        <v>1880.6666666666667</v>
      </c>
      <c r="W11" s="8"/>
      <c r="X11" s="19"/>
      <c r="Y11" s="8"/>
      <c r="Z11" s="8"/>
      <c r="AA11" s="49"/>
      <c r="AB11" s="8"/>
      <c r="AC11" s="17">
        <f>(2511+1325+2387)/3</f>
        <v>2074.3333333333335</v>
      </c>
      <c r="AD11" s="30"/>
      <c r="AE11" s="19"/>
      <c r="AF11" s="8"/>
      <c r="AG11" s="48"/>
      <c r="AH11" s="8"/>
      <c r="AI11" s="8">
        <f>(1985+1720+892)/3</f>
        <v>1532.3333333333333</v>
      </c>
      <c r="AJ11" s="17">
        <f>(1743+764+1891)/3</f>
        <v>1466</v>
      </c>
      <c r="AK11" s="30"/>
      <c r="AL11" s="19"/>
      <c r="AM11" s="8"/>
      <c r="AN11" s="48"/>
      <c r="AO11" s="8"/>
      <c r="AP11" s="17"/>
      <c r="AQ11" s="30"/>
      <c r="AR11" s="30"/>
      <c r="AS11" s="19"/>
      <c r="AT11" s="8"/>
      <c r="AU11" s="48"/>
      <c r="AV11" s="8"/>
      <c r="AW11" s="17">
        <f>(1845+1519+1427)/3</f>
        <v>1597</v>
      </c>
      <c r="AX11" s="30"/>
      <c r="AY11" s="32"/>
      <c r="AZ11" s="8"/>
      <c r="BA11" s="8"/>
      <c r="BB11" s="48"/>
      <c r="BC11" s="8"/>
      <c r="BD11" s="17">
        <f>(2552+3613+1063)/3</f>
        <v>2409.3333333333335</v>
      </c>
      <c r="BE11" s="30"/>
      <c r="BF11" s="32"/>
      <c r="BG11" s="8"/>
      <c r="BH11" s="8"/>
      <c r="BI11" s="48"/>
      <c r="BJ11" s="34"/>
      <c r="BK11" s="17">
        <f>(2012+1163+2796)/3</f>
        <v>1990.3333333333333</v>
      </c>
      <c r="BL11" s="30"/>
      <c r="BM11" s="32"/>
      <c r="BN11" s="8"/>
      <c r="BO11" s="8"/>
      <c r="BP11" s="48"/>
      <c r="BQ11" s="34"/>
      <c r="BR11" s="17">
        <f>(1579+583+2294)/3</f>
        <v>1485.3333333333333</v>
      </c>
      <c r="BS11" s="30"/>
      <c r="BT11" s="32"/>
      <c r="BU11" s="8"/>
      <c r="BV11" s="8"/>
      <c r="BW11" s="48"/>
      <c r="BX11" s="30"/>
      <c r="BY11" s="17">
        <v>1491</v>
      </c>
      <c r="BZ11" s="8"/>
      <c r="CA11" s="26"/>
      <c r="CB11" s="8"/>
      <c r="CC11" s="8"/>
      <c r="CD11" s="48"/>
      <c r="CE11" s="8">
        <f>(2189+862+3506)/3</f>
        <v>2185.6666666666665</v>
      </c>
      <c r="CF11" s="17">
        <f>(1925+1149+2548)/3</f>
        <v>1874</v>
      </c>
      <c r="CG11" s="8"/>
      <c r="CH11" s="26"/>
    </row>
    <row r="12" spans="1:86" x14ac:dyDescent="0.25">
      <c r="A12">
        <v>101</v>
      </c>
      <c r="B12" s="7" t="s">
        <v>18</v>
      </c>
      <c r="C12" s="19">
        <f>(9614+8383+4586)/3</f>
        <v>7527.666666666667</v>
      </c>
      <c r="D12" s="8">
        <f>(9609+8856+5387)/3</f>
        <v>7950.666666666667</v>
      </c>
      <c r="E12" s="50">
        <f>(11262+10325+6213)/3</f>
        <v>9266.6666666666661</v>
      </c>
      <c r="F12" s="8">
        <f>(7336+2909+3435)/3</f>
        <v>4560</v>
      </c>
      <c r="G12" s="8">
        <f>(8614+7242+3558)/3</f>
        <v>6471.333333333333</v>
      </c>
      <c r="H12" s="17"/>
      <c r="I12" s="32"/>
      <c r="J12" s="8">
        <f>(9331+7789+4898)/3</f>
        <v>7339.333333333333</v>
      </c>
      <c r="K12" s="8">
        <f>(10381+9571+5637)/3</f>
        <v>8529.6666666666661</v>
      </c>
      <c r="L12" s="50">
        <f>(10603+8855+5831)/3</f>
        <v>8429.6666666666661</v>
      </c>
      <c r="M12" s="8">
        <f>(8152+3216+1651)/3</f>
        <v>4339.666666666667</v>
      </c>
      <c r="N12" s="8">
        <f>(6577+3571+9846)/3</f>
        <v>6664.666666666667</v>
      </c>
      <c r="O12" s="17"/>
      <c r="P12" s="30"/>
      <c r="Q12" s="19">
        <f>(9827+4438+6338)/3</f>
        <v>6867.666666666667</v>
      </c>
      <c r="R12" s="8">
        <f>(12814+9913+6501)/3</f>
        <v>9742.6666666666661</v>
      </c>
      <c r="S12" s="48">
        <f>(171845/31)</f>
        <v>5543.3870967741932</v>
      </c>
      <c r="T12" s="8"/>
      <c r="U12" s="8">
        <f>(7275+1976+3930)/3</f>
        <v>4393.666666666667</v>
      </c>
      <c r="V12" s="17"/>
      <c r="W12" s="8"/>
      <c r="X12" s="19">
        <f>(13748+10470+7040)/3</f>
        <v>10419.333333333334</v>
      </c>
      <c r="Y12" s="8">
        <f>(13898+11842+7645)/3</f>
        <v>11128.333333333334</v>
      </c>
      <c r="Z12" s="8">
        <v>2450.4333333333334</v>
      </c>
      <c r="AA12" s="49">
        <f>(7629+3202+1801)/3</f>
        <v>4210.666666666667</v>
      </c>
      <c r="AB12" s="8"/>
      <c r="AC12" s="17"/>
      <c r="AD12" s="30"/>
      <c r="AE12" s="19">
        <f>(13424+12791+5888)/3</f>
        <v>10701</v>
      </c>
      <c r="AF12" s="8">
        <f>(15651+12159+9338)/3</f>
        <v>12382.666666666666</v>
      </c>
      <c r="AG12" s="48">
        <v>4500.2258064516127</v>
      </c>
      <c r="AH12" s="8">
        <f>(8799+4896+10397)/3</f>
        <v>8030.666666666667</v>
      </c>
      <c r="AI12" s="8">
        <f>(13710+12260+7113)/3</f>
        <v>11027.666666666666</v>
      </c>
      <c r="AJ12" s="17"/>
      <c r="AK12" s="30"/>
      <c r="AL12" s="19">
        <f>(13691+10219+10111)/3</f>
        <v>11340.333333333334</v>
      </c>
      <c r="AM12" s="8">
        <f>(12511+8179+16936)/3</f>
        <v>12542</v>
      </c>
      <c r="AN12" s="48">
        <v>425.3</v>
      </c>
      <c r="AO12" s="8">
        <f>(8326+4704+11138)/3</f>
        <v>8056</v>
      </c>
      <c r="AP12" s="17">
        <f>(14396+10402+6140)/3</f>
        <v>10312.666666666666</v>
      </c>
      <c r="AQ12" s="30"/>
      <c r="AR12" s="30"/>
      <c r="AS12" s="19">
        <f>(12550+9533+5960)/3</f>
        <v>9347.6666666666661</v>
      </c>
      <c r="AT12" s="8">
        <f>(17160+12049+11055)/3</f>
        <v>13421.333333333334</v>
      </c>
      <c r="AU12" s="48"/>
      <c r="AV12" s="8">
        <f>(10886+8207+8599)/3</f>
        <v>9230.6666666666661</v>
      </c>
      <c r="AW12" s="17">
        <f>(14263+9665+6002)/3</f>
        <v>9976.6666666666661</v>
      </c>
      <c r="AX12" s="30"/>
      <c r="AY12" s="32"/>
      <c r="AZ12" s="8">
        <f>(9901+8053+7861)/3</f>
        <v>8605</v>
      </c>
      <c r="BA12" s="8">
        <f>(14116+10960+15823)/3</f>
        <v>13633</v>
      </c>
      <c r="BB12" s="48">
        <f>(3108+1194+3388)/3</f>
        <v>2563.3333333333335</v>
      </c>
      <c r="BC12" s="8">
        <f>(8345+3878+6461)/3</f>
        <v>6228</v>
      </c>
      <c r="BD12" s="17"/>
      <c r="BE12" s="30"/>
      <c r="BF12" s="32"/>
      <c r="BG12" s="8"/>
      <c r="BH12" s="8">
        <f>(12507+9169+15513)/3</f>
        <v>12396.333333333334</v>
      </c>
      <c r="BI12" s="48">
        <f>(6894+3435+8513)/3</f>
        <v>6280.666666666667</v>
      </c>
      <c r="BJ12" s="34">
        <f>(2613+2344+791)/3</f>
        <v>1916</v>
      </c>
      <c r="BK12" s="17"/>
      <c r="BL12" s="30"/>
      <c r="BM12" s="32"/>
      <c r="BN12" s="8">
        <f>(8854+5573+10392)/3</f>
        <v>8273</v>
      </c>
      <c r="BO12" s="8">
        <f>(12753+9034+13956)/3</f>
        <v>11914.333333333334</v>
      </c>
      <c r="BP12" s="48">
        <f>(5960+3965+8340)/3</f>
        <v>6088.333333333333</v>
      </c>
      <c r="BQ12" s="34">
        <f>(6821+4127+1600)/3</f>
        <v>4182.666666666667</v>
      </c>
      <c r="BR12" s="17"/>
      <c r="BS12" s="30"/>
      <c r="BT12" s="32"/>
      <c r="BU12" s="8">
        <f>(8805+5104+9966)/3</f>
        <v>7958.333333333333</v>
      </c>
      <c r="BV12" s="8">
        <f>(12513+8140+13816)/3</f>
        <v>11489.666666666666</v>
      </c>
      <c r="BW12" s="48">
        <f>(3048+1393+8150)/3</f>
        <v>4197</v>
      </c>
      <c r="BX12" s="30">
        <f>(7354+2619+9700)/3</f>
        <v>6557.666666666667</v>
      </c>
      <c r="BY12" s="17"/>
      <c r="BZ12" s="8"/>
      <c r="CA12" s="26"/>
      <c r="CB12" s="8">
        <f>(9849+5853+10392)/3</f>
        <v>8698</v>
      </c>
      <c r="CC12" s="8">
        <f>(10278+7954+11325)/3</f>
        <v>9852.3333333333339</v>
      </c>
      <c r="CD12" s="48">
        <f>(3416+2667+8661)/3</f>
        <v>4914.666666666667</v>
      </c>
      <c r="CE12" s="8">
        <f>(7565+4311+12508)/3</f>
        <v>8128</v>
      </c>
      <c r="CF12" s="17"/>
      <c r="CG12" s="8"/>
      <c r="CH12" s="26"/>
    </row>
    <row r="13" spans="1:86" x14ac:dyDescent="0.25">
      <c r="A13">
        <v>101</v>
      </c>
      <c r="B13" s="7" t="s">
        <v>19</v>
      </c>
      <c r="C13" s="19">
        <f>(11452+10746+7321)/3</f>
        <v>9839.6666666666661</v>
      </c>
      <c r="D13" s="8">
        <f>(12041+11228+8829)/3</f>
        <v>10699.333333333334</v>
      </c>
      <c r="E13" s="50">
        <f>(6031+6007+3029)/3</f>
        <v>5022.333333333333</v>
      </c>
      <c r="F13" s="8">
        <f>(8669+2501+3554)/3</f>
        <v>4908</v>
      </c>
      <c r="G13" s="8">
        <f>(3870+3660+1762)/3</f>
        <v>3097.3333333333335</v>
      </c>
      <c r="H13" s="17"/>
      <c r="I13" s="32"/>
      <c r="J13" s="8">
        <f>(12095+10114+6562)/3</f>
        <v>9590.3333333333339</v>
      </c>
      <c r="K13" s="8">
        <f>(11857+11106+6290)/3</f>
        <v>9751</v>
      </c>
      <c r="L13" s="50">
        <f>(10866+8361+5482)/3</f>
        <v>8236.3333333333339</v>
      </c>
      <c r="M13" s="8">
        <f>(11029+4480+2322)/3</f>
        <v>5943.666666666667</v>
      </c>
      <c r="N13" s="8">
        <f>(2916+1302+3575)/3</f>
        <v>2597.6666666666665</v>
      </c>
      <c r="O13" s="17"/>
      <c r="P13" s="30"/>
      <c r="Q13" s="19">
        <f>(12902+10190+6483)/3</f>
        <v>9858.3333333333339</v>
      </c>
      <c r="R13" s="8">
        <f>(12828+10228+6014)/3</f>
        <v>9690</v>
      </c>
      <c r="S13" s="48">
        <f>(176759)/31</f>
        <v>5701.9032258064517</v>
      </c>
      <c r="T13" s="8"/>
      <c r="U13" s="8">
        <f>(3493+1164+2399)/3</f>
        <v>2352</v>
      </c>
      <c r="V13" s="17"/>
      <c r="W13" s="8"/>
      <c r="X13" s="19">
        <f>(15676+14508+8162)/3</f>
        <v>12782</v>
      </c>
      <c r="Y13" s="8">
        <f>(14953+14039+6391)/3</f>
        <v>11794.333333333334</v>
      </c>
      <c r="Z13" s="8">
        <v>2759.7</v>
      </c>
      <c r="AA13" s="49">
        <f>(10322+4583+2534)/3</f>
        <v>5813</v>
      </c>
      <c r="AB13" s="8"/>
      <c r="AC13" s="17"/>
      <c r="AD13" s="30"/>
      <c r="AE13" s="19">
        <f>(14966+17258+12334)/3</f>
        <v>14852.666666666666</v>
      </c>
      <c r="AF13" s="8">
        <f>(15979+16106+10352)/3</f>
        <v>14145.666666666666</v>
      </c>
      <c r="AG13" s="48">
        <v>4790.5806451612907</v>
      </c>
      <c r="AH13" s="8">
        <f>(10915+5479+12869)/3</f>
        <v>9754.3333333333339</v>
      </c>
      <c r="AI13" s="8">
        <f>(11465+10568+5682)/3</f>
        <v>9238.3333333333339</v>
      </c>
      <c r="AJ13" s="17"/>
      <c r="AK13" s="30"/>
      <c r="AL13" s="19">
        <f>(15256+11533+10147)/3</f>
        <v>12312</v>
      </c>
      <c r="AM13" s="8">
        <f>(12841+10622+6000)/3</f>
        <v>9821</v>
      </c>
      <c r="AN13" s="48">
        <v>1652.9666666666667</v>
      </c>
      <c r="AO13" s="8">
        <f>(10600+5529+14238)/3</f>
        <v>10122.333333333334</v>
      </c>
      <c r="AP13" s="17">
        <f>(12176+9184+4887)/3</f>
        <v>8749</v>
      </c>
      <c r="AQ13" s="30"/>
      <c r="AR13" s="30"/>
      <c r="AS13" s="19">
        <f>(14753+11323+6014)/3</f>
        <v>10696.666666666666</v>
      </c>
      <c r="AT13" s="8">
        <f>(15136+11471+9405)/3</f>
        <v>12004</v>
      </c>
      <c r="AU13" s="48"/>
      <c r="AV13" s="8">
        <f>(10743+9706+13546)/3</f>
        <v>11331.666666666666</v>
      </c>
      <c r="AW13" s="17">
        <f>(11914+8570+4580)/3</f>
        <v>8354.6666666666661</v>
      </c>
      <c r="AX13" s="30"/>
      <c r="AY13" s="32"/>
      <c r="AZ13" s="8">
        <f>(11647+10069+9252)/3</f>
        <v>10322.666666666666</v>
      </c>
      <c r="BA13" s="8">
        <f>(13876+9955+14596)/3</f>
        <v>12809</v>
      </c>
      <c r="BB13" s="48">
        <f>(4290+781+4876)/3</f>
        <v>3315.6666666666665</v>
      </c>
      <c r="BC13" s="8">
        <f>(9306+4261+7445)/3</f>
        <v>7004</v>
      </c>
      <c r="BD13" s="17"/>
      <c r="BE13" s="30"/>
      <c r="BF13" s="32"/>
      <c r="BG13" s="8"/>
      <c r="BH13" s="8">
        <f>(13859+10419+16152)/3</f>
        <v>13476.666666666666</v>
      </c>
      <c r="BI13" s="48">
        <f>(7901+3440+9987)/3</f>
        <v>7109.333333333333</v>
      </c>
      <c r="BJ13" s="34">
        <f>(1488+532+1460)/3</f>
        <v>1160</v>
      </c>
      <c r="BK13" s="17"/>
      <c r="BL13" s="30"/>
      <c r="BM13" s="32"/>
      <c r="BN13" s="8">
        <f>(16104+12348+17035)/3</f>
        <v>15162.333333333334</v>
      </c>
      <c r="BO13" s="8">
        <f>(12341+9646+16327)/3</f>
        <v>12771.333333333334</v>
      </c>
      <c r="BP13" s="48">
        <f>(6528+3621+9529)/3</f>
        <v>6559.333333333333</v>
      </c>
      <c r="BQ13" s="34">
        <f>(2133+1563+620)/3</f>
        <v>1438.6666666666667</v>
      </c>
      <c r="BR13" s="17"/>
      <c r="BS13" s="30"/>
      <c r="BT13" s="32"/>
      <c r="BU13" s="8">
        <f>(12552+9262+14313)/3</f>
        <v>12042.333333333334</v>
      </c>
      <c r="BV13" s="8">
        <f>(16021+9064+15230)/3</f>
        <v>13438.333333333334</v>
      </c>
      <c r="BW13" s="48">
        <f>(7383+1518+9976)/3</f>
        <v>6292.333333333333</v>
      </c>
      <c r="BX13" s="30">
        <f>(3688+1540+4985)/3</f>
        <v>3404.3333333333335</v>
      </c>
      <c r="BY13" s="17"/>
      <c r="BZ13" s="8"/>
      <c r="CA13" s="26"/>
      <c r="CB13" s="8">
        <f>(11834+6747+12424)/3</f>
        <v>10335</v>
      </c>
      <c r="CC13" s="8">
        <f>(12379+8936+17111)/3</f>
        <v>12808.666666666666</v>
      </c>
      <c r="CD13" s="48">
        <f>(2800+2014+8452)/3</f>
        <v>4422</v>
      </c>
      <c r="CE13" s="8">
        <f>(3826+2538+7479)/3</f>
        <v>4614.333333333333</v>
      </c>
      <c r="CF13" s="17"/>
      <c r="CG13" s="8"/>
      <c r="CH13" s="26"/>
    </row>
    <row r="14" spans="1:86" x14ac:dyDescent="0.25">
      <c r="A14">
        <v>117</v>
      </c>
      <c r="B14" s="41" t="s">
        <v>52</v>
      </c>
      <c r="C14" s="19"/>
      <c r="D14" s="8"/>
      <c r="E14" s="50"/>
      <c r="F14" s="8"/>
      <c r="G14" s="8">
        <f>(2800+3700+1793)/3</f>
        <v>2764.3333333333335</v>
      </c>
      <c r="H14" s="17">
        <f>(3324+1381+2936)/3</f>
        <v>2547</v>
      </c>
      <c r="I14" s="32"/>
      <c r="J14" s="8"/>
      <c r="K14" s="8"/>
      <c r="L14" s="50"/>
      <c r="M14" s="8"/>
      <c r="N14" s="8">
        <f>(2319+1241+2717)/3</f>
        <v>2092.3333333333335</v>
      </c>
      <c r="O14" s="17">
        <f>(2141+2418+2715)/3</f>
        <v>2424.6666666666665</v>
      </c>
      <c r="P14" s="30"/>
      <c r="Q14" s="19"/>
      <c r="R14" s="8"/>
      <c r="S14" s="48"/>
      <c r="T14" s="8"/>
      <c r="U14" s="8">
        <f>(2922+1608+2388)/3</f>
        <v>2306</v>
      </c>
      <c r="V14" s="17">
        <f>(1971+1204+3029)/3</f>
        <v>2068</v>
      </c>
      <c r="W14" s="8"/>
      <c r="X14" s="19"/>
      <c r="Y14" s="8"/>
      <c r="Z14" s="8"/>
      <c r="AA14" s="49"/>
      <c r="AB14" s="8">
        <f>(3884+3321+1693)/3</f>
        <v>2966</v>
      </c>
      <c r="AC14" s="17">
        <f>(2063+1173+2485)/3</f>
        <v>1907</v>
      </c>
      <c r="AD14" s="30"/>
      <c r="AE14" s="19"/>
      <c r="AF14" s="8"/>
      <c r="AG14" s="48"/>
      <c r="AH14" s="8"/>
      <c r="AI14" s="8">
        <f>(2531+1941+2353)/3</f>
        <v>2275</v>
      </c>
      <c r="AJ14" s="17">
        <f>(2212+1146+2258)/3</f>
        <v>1872</v>
      </c>
      <c r="AK14" s="30"/>
      <c r="AL14" s="19"/>
      <c r="AM14" s="8"/>
      <c r="AN14" s="48"/>
      <c r="AO14" s="8"/>
      <c r="AP14" s="17">
        <f>(2976+2542+1589)/3</f>
        <v>2369</v>
      </c>
      <c r="AQ14" s="30"/>
      <c r="AR14" s="30"/>
      <c r="AS14" s="19"/>
      <c r="AT14" s="8"/>
      <c r="AU14" s="48"/>
      <c r="AV14" s="8"/>
      <c r="AW14" s="17">
        <f>(3623+2027+1552)/3</f>
        <v>2400.6666666666665</v>
      </c>
      <c r="AX14" s="30"/>
      <c r="AY14" s="32"/>
      <c r="AZ14" s="8"/>
      <c r="BA14" s="8"/>
      <c r="BB14" s="48"/>
      <c r="BC14" s="8"/>
      <c r="BD14" s="17">
        <f>(2393+1598+2001)/3</f>
        <v>1997.3333333333333</v>
      </c>
      <c r="BE14" s="30"/>
      <c r="BF14" s="32"/>
      <c r="BG14" s="8"/>
      <c r="BH14" s="8"/>
      <c r="BI14" s="48"/>
      <c r="BJ14" s="34"/>
      <c r="BK14" s="17">
        <f>(2037+1517+2958)/3</f>
        <v>2170.6666666666665</v>
      </c>
      <c r="BL14" s="30"/>
      <c r="BM14" s="32"/>
      <c r="BN14" s="8"/>
      <c r="BO14" s="8"/>
      <c r="BP14" s="48"/>
      <c r="BQ14" s="34"/>
      <c r="BR14" s="17">
        <f>(2842+1419+3132)/3</f>
        <v>2464.3333333333335</v>
      </c>
      <c r="BS14" s="30"/>
      <c r="BT14" s="32"/>
      <c r="BU14" s="8"/>
      <c r="BV14" s="8"/>
      <c r="BW14" s="48"/>
      <c r="BX14" s="30"/>
      <c r="BY14" s="17">
        <v>2749</v>
      </c>
      <c r="BZ14" s="8"/>
      <c r="CA14" s="26"/>
      <c r="CB14" s="8"/>
      <c r="CC14" s="8"/>
      <c r="CD14" s="48"/>
      <c r="CE14" s="8">
        <f>(2496+1854+3530)/3</f>
        <v>2626.6666666666665</v>
      </c>
      <c r="CF14" s="17">
        <f>(2926+1433+3103)/3</f>
        <v>2487.3333333333335</v>
      </c>
      <c r="CG14" s="8"/>
      <c r="CH14" s="26"/>
    </row>
    <row r="15" spans="1:86" x14ac:dyDescent="0.25">
      <c r="A15">
        <v>117</v>
      </c>
      <c r="B15" s="41" t="s">
        <v>53</v>
      </c>
      <c r="C15" s="19"/>
      <c r="D15" s="8"/>
      <c r="E15" s="50"/>
      <c r="F15" s="8"/>
      <c r="G15" s="8"/>
      <c r="H15" s="17"/>
      <c r="I15" s="32"/>
      <c r="J15" s="8"/>
      <c r="K15" s="8"/>
      <c r="L15" s="50"/>
      <c r="M15" s="8"/>
      <c r="N15" s="8"/>
      <c r="O15" s="17"/>
      <c r="P15" s="30"/>
      <c r="Q15" s="19"/>
      <c r="R15" s="8"/>
      <c r="S15" s="48"/>
      <c r="T15" s="8"/>
      <c r="U15" s="8"/>
      <c r="V15" s="17"/>
      <c r="W15" s="8"/>
      <c r="X15" s="19"/>
      <c r="Y15" s="8"/>
      <c r="Z15" s="8"/>
      <c r="AA15" s="49"/>
      <c r="AB15" s="8"/>
      <c r="AC15" s="17"/>
      <c r="AD15" s="30"/>
      <c r="AE15" s="19"/>
      <c r="AF15" s="8"/>
      <c r="AG15" s="48"/>
      <c r="AH15" s="8"/>
      <c r="AI15" s="8"/>
      <c r="AJ15" s="17"/>
      <c r="AK15" s="30"/>
      <c r="AL15" s="19"/>
      <c r="AM15" s="8"/>
      <c r="AN15" s="48"/>
      <c r="AO15" s="8"/>
      <c r="AP15" s="17"/>
      <c r="AQ15" s="30"/>
      <c r="AR15" s="30"/>
      <c r="AS15" s="19"/>
      <c r="AT15" s="8"/>
      <c r="AU15" s="48"/>
      <c r="AV15" s="8"/>
      <c r="AW15" s="17"/>
      <c r="AX15" s="30"/>
      <c r="AY15" s="32"/>
      <c r="AZ15" s="8"/>
      <c r="BA15" s="8"/>
      <c r="BB15" s="48"/>
      <c r="BC15" s="8"/>
      <c r="BD15" s="17"/>
      <c r="BE15" s="30"/>
      <c r="BF15" s="32"/>
      <c r="BG15" s="8"/>
      <c r="BH15" s="8"/>
      <c r="BI15" s="48"/>
      <c r="BJ15" s="34"/>
      <c r="BK15" s="17"/>
      <c r="BL15" s="30"/>
      <c r="BM15" s="32"/>
      <c r="BN15" s="8"/>
      <c r="BO15" s="8"/>
      <c r="BP15" s="48"/>
      <c r="BQ15" s="34"/>
      <c r="BR15" s="17"/>
      <c r="BS15" s="30"/>
      <c r="BT15" s="32"/>
      <c r="BU15" s="8"/>
      <c r="BV15" s="8"/>
      <c r="BW15" s="48"/>
      <c r="BX15" s="30"/>
      <c r="BY15" s="17">
        <v>2546</v>
      </c>
      <c r="BZ15" s="8"/>
      <c r="CA15" s="26"/>
      <c r="CB15" s="8"/>
      <c r="CC15" s="8"/>
      <c r="CD15" s="48"/>
      <c r="CE15" s="8">
        <f>(2282+1441+3382)/3</f>
        <v>2368.3333333333335</v>
      </c>
      <c r="CF15" s="17">
        <f>(2906+1284+3239)/3</f>
        <v>2476.3333333333335</v>
      </c>
      <c r="CG15" s="8"/>
      <c r="CH15" s="26"/>
    </row>
    <row r="16" spans="1:86" x14ac:dyDescent="0.25">
      <c r="A16">
        <v>505</v>
      </c>
      <c r="B16" s="9" t="s">
        <v>20</v>
      </c>
      <c r="C16" s="19">
        <f>(7617+5940+4192)/3</f>
        <v>5916.333333333333</v>
      </c>
      <c r="D16" s="8">
        <f>(7182+5378+3162)/3</f>
        <v>5240.666666666667</v>
      </c>
      <c r="E16" s="50">
        <f>(6144+5033+3285)/3</f>
        <v>4820.666666666667</v>
      </c>
      <c r="F16" s="8">
        <f>(6656+1838+2492)/3</f>
        <v>3662</v>
      </c>
      <c r="G16" s="8">
        <f>(6219+5998+2742)/3</f>
        <v>4986.333333333333</v>
      </c>
      <c r="H16" s="17">
        <f>(5199+3251+6326)/3</f>
        <v>4925.333333333333</v>
      </c>
      <c r="I16" s="32"/>
      <c r="J16" s="8">
        <f>(7183+8248+4872)/3</f>
        <v>6767.666666666667</v>
      </c>
      <c r="K16" s="8">
        <f>(7326+5089+3691)/3</f>
        <v>5368.666666666667</v>
      </c>
      <c r="L16" s="50">
        <f>(7220+54131+6214)/3</f>
        <v>22521.666666666668</v>
      </c>
      <c r="M16" s="8">
        <f>(5263+3550+1880)/3</f>
        <v>3564.3333333333335</v>
      </c>
      <c r="N16" s="8">
        <f>(4670+3940+7762)/3</f>
        <v>5457.333333333333</v>
      </c>
      <c r="O16" s="17">
        <f>(4848+3188+6424)/3</f>
        <v>4820</v>
      </c>
      <c r="P16" s="30"/>
      <c r="Q16" s="19">
        <f>(7208+5459+3864)/3</f>
        <v>5510.333333333333</v>
      </c>
      <c r="R16" s="8">
        <f>(7222+5269+3801)/3</f>
        <v>5430.666666666667</v>
      </c>
      <c r="S16" s="48">
        <f>(115753/31)</f>
        <v>3733.9677419354839</v>
      </c>
      <c r="T16" s="8"/>
      <c r="U16" s="8">
        <f>(6967+2344+3680)/3</f>
        <v>4330.333333333333</v>
      </c>
      <c r="V16" s="17">
        <f>(4857+3088+6695)/3</f>
        <v>4880</v>
      </c>
      <c r="W16" s="8"/>
      <c r="X16" s="19">
        <f>(7300+5044+3217)/3</f>
        <v>5187</v>
      </c>
      <c r="Y16" s="8">
        <f>(6046+4341+2785)/3</f>
        <v>4390.666666666667</v>
      </c>
      <c r="Z16" s="8">
        <v>2051.5666666666666</v>
      </c>
      <c r="AA16" s="49">
        <f>(4811+2525+1271)/3</f>
        <v>2869</v>
      </c>
      <c r="AB16" s="8">
        <f>(7413+4980+3103)/3</f>
        <v>5165.333333333333</v>
      </c>
      <c r="AC16" s="17">
        <f>(5226+4953+5485)/3</f>
        <v>5221.333333333333</v>
      </c>
      <c r="AD16" s="30"/>
      <c r="AE16" s="19">
        <f>(6353+5179+3516)/3</f>
        <v>5016</v>
      </c>
      <c r="AF16" s="8">
        <f>(7692+7398+4391)/3</f>
        <v>6493.666666666667</v>
      </c>
      <c r="AG16" s="48">
        <v>3082.0322580645161</v>
      </c>
      <c r="AH16" s="8">
        <f>(6640+3869+6904)/3</f>
        <v>5804.333333333333</v>
      </c>
      <c r="AI16" s="8">
        <f>(7362+5797+3367)/3</f>
        <v>5508.666666666667</v>
      </c>
      <c r="AJ16" s="17">
        <f>(5005+3716+6351)/3</f>
        <v>5024</v>
      </c>
      <c r="AK16" s="30"/>
      <c r="AL16" s="19">
        <f>(6273+5168+3211)/3</f>
        <v>4884</v>
      </c>
      <c r="AM16" s="8">
        <f>(8475+6784+3432)/3</f>
        <v>6230.333333333333</v>
      </c>
      <c r="AN16" s="48">
        <v>5237.7333333333336</v>
      </c>
      <c r="AO16" s="8">
        <f>(4913+2965+6472)/3</f>
        <v>4783.333333333333</v>
      </c>
      <c r="AP16" s="17">
        <f>(7435+5439+3469)/3</f>
        <v>5447.666666666667</v>
      </c>
      <c r="AQ16" s="30"/>
      <c r="AR16" s="30"/>
      <c r="AS16" s="19">
        <f>(5909+4534+3945)/3</f>
        <v>4796</v>
      </c>
      <c r="AT16" s="8">
        <f>(7178+5174+3624)/3</f>
        <v>5325.333333333333</v>
      </c>
      <c r="AU16" s="48">
        <f>(5107+2808+6894)/3</f>
        <v>4936.333333333333</v>
      </c>
      <c r="AV16" s="8">
        <f>(4660+3125+6024)/3</f>
        <v>4603</v>
      </c>
      <c r="AW16" s="17">
        <f>(7761+4818+3618)/3</f>
        <v>5399</v>
      </c>
      <c r="AX16" s="30"/>
      <c r="AY16" s="32"/>
      <c r="AZ16" s="8">
        <f>(5522+3192+6189)/3</f>
        <v>4967.666666666667</v>
      </c>
      <c r="BA16" s="8">
        <f>(5227+3764+5973)/3</f>
        <v>4988</v>
      </c>
      <c r="BB16" s="48">
        <f>(4271+4703+6875)/3</f>
        <v>5283</v>
      </c>
      <c r="BC16" s="8">
        <f>(5645+2888+3602)/3</f>
        <v>4045</v>
      </c>
      <c r="BD16" s="17">
        <f>(6377+5714+3664)/3</f>
        <v>5251.666666666667</v>
      </c>
      <c r="BE16" s="30"/>
      <c r="BF16" s="32"/>
      <c r="BG16" s="8"/>
      <c r="BH16" s="8">
        <f>(5172+3987+6674)/3</f>
        <v>5277.666666666667</v>
      </c>
      <c r="BI16" s="48">
        <f>(4522+2559+6377)/3</f>
        <v>4486</v>
      </c>
      <c r="BJ16" s="30">
        <f>(7488+5546+3329)/3</f>
        <v>5454.333333333333</v>
      </c>
      <c r="BK16" s="17">
        <f>(5315+3951+7042)/3</f>
        <v>5436</v>
      </c>
      <c r="BL16" s="30"/>
      <c r="BM16" s="32"/>
      <c r="BN16" s="8">
        <f>(7721+5327+7051)/3</f>
        <v>6699.666666666667</v>
      </c>
      <c r="BO16" s="8">
        <f>(5731+4028+7252)/3</f>
        <v>5670.333333333333</v>
      </c>
      <c r="BP16" s="48">
        <f>(4951+3936+6045)/3</f>
        <v>4977.333333333333</v>
      </c>
      <c r="BQ16" s="30">
        <f>(8260+5840+4456)/3</f>
        <v>6185.333333333333</v>
      </c>
      <c r="BR16" s="17"/>
      <c r="BS16" s="30"/>
      <c r="BT16" s="32"/>
      <c r="BU16" s="8">
        <f>(6011+3535+6926)/3</f>
        <v>5490.666666666667</v>
      </c>
      <c r="BV16" s="8">
        <f>(6192+4240+7054)/3</f>
        <v>5828.666666666667</v>
      </c>
      <c r="BW16" s="48">
        <f>(2617+2370+5901)/3</f>
        <v>3629.3333333333335</v>
      </c>
      <c r="BX16" s="30">
        <f>(8518+4192+7884)/3</f>
        <v>6864.666666666667</v>
      </c>
      <c r="BY16" s="17">
        <v>5675</v>
      </c>
      <c r="BZ16" s="8"/>
      <c r="CA16" s="26"/>
      <c r="CB16" s="8">
        <f>(6640+4244+7067)/3</f>
        <v>5983.666666666667</v>
      </c>
      <c r="CC16" s="8">
        <f>(5087+3894+6361)/3</f>
        <v>5114</v>
      </c>
      <c r="CD16" s="48">
        <f>(2491+2533+7497)/3</f>
        <v>4173.666666666667</v>
      </c>
      <c r="CE16" s="8">
        <f>(5576+3080+7009)/3</f>
        <v>5221.666666666667</v>
      </c>
      <c r="CF16" s="17">
        <f>(4969+3198+6257)/3</f>
        <v>4808</v>
      </c>
      <c r="CG16" s="8"/>
      <c r="CH16" s="26"/>
    </row>
    <row r="17" spans="1:86" x14ac:dyDescent="0.25">
      <c r="A17">
        <v>505</v>
      </c>
      <c r="B17" s="9" t="s">
        <v>21</v>
      </c>
      <c r="C17" s="19">
        <f>(7108+5820+3530)/3</f>
        <v>5486</v>
      </c>
      <c r="D17" s="8">
        <f>(6286+5281+2280)/3</f>
        <v>4615.666666666667</v>
      </c>
      <c r="E17" s="50">
        <f>(5413+4631+2480)/3</f>
        <v>4174.666666666667</v>
      </c>
      <c r="F17" s="8">
        <f>(6524+1596+2615)/3</f>
        <v>3578.3333333333335</v>
      </c>
      <c r="G17" s="8">
        <f>(5696+6222+2255)/3</f>
        <v>4724.333333333333</v>
      </c>
      <c r="H17" s="17">
        <f>(4902+2730+6098)/3</f>
        <v>4576.666666666667</v>
      </c>
      <c r="I17" s="32"/>
      <c r="J17" s="8">
        <f>(6804+8122+4430)/3</f>
        <v>6452</v>
      </c>
      <c r="K17" s="8">
        <f>(6584+4765+3316)/3</f>
        <v>4888.333333333333</v>
      </c>
      <c r="L17" s="50">
        <f>(6719+5164+4951)/3</f>
        <v>5611.333333333333</v>
      </c>
      <c r="M17" s="8">
        <f>(5294+3771+1636)/3</f>
        <v>3567</v>
      </c>
      <c r="N17" s="8">
        <f>(4724+3675+7525)/3</f>
        <v>5308</v>
      </c>
      <c r="O17" s="17">
        <f>(5109+2968+6547)/3</f>
        <v>4874.666666666667</v>
      </c>
      <c r="P17" s="30"/>
      <c r="Q17" s="19">
        <f>(6938+5460+3807)/3</f>
        <v>5401.666666666667</v>
      </c>
      <c r="R17" s="8">
        <f>(6757+5120+3415)/3</f>
        <v>5097.333333333333</v>
      </c>
      <c r="S17" s="48">
        <f>(110577/31)</f>
        <v>3567</v>
      </c>
      <c r="T17" s="8"/>
      <c r="U17" s="8">
        <f>(6702+2157+3859)/3</f>
        <v>4239.333333333333</v>
      </c>
      <c r="V17" s="17">
        <f>(5053+2995+6911)/3</f>
        <v>4986.333333333333</v>
      </c>
      <c r="W17" s="8"/>
      <c r="X17" s="19">
        <f>(7352+5116+2874)/3</f>
        <v>5114</v>
      </c>
      <c r="Y17" s="8">
        <f>(6011+4755+2645)/3</f>
        <v>4470.333333333333</v>
      </c>
      <c r="Z17" s="8">
        <v>1924.9333333333334</v>
      </c>
      <c r="AA17" s="49">
        <f>(4884+2686+1083)/3</f>
        <v>2884.3333333333335</v>
      </c>
      <c r="AB17" s="8">
        <f>(7322+5071+2665)/3</f>
        <v>5019.333333333333</v>
      </c>
      <c r="AC17" s="17">
        <f>(5456+4817+5932)/3</f>
        <v>5401.666666666667</v>
      </c>
      <c r="AD17" s="30"/>
      <c r="AE17" s="19">
        <f>(6567+5435+3758)/3</f>
        <v>5253.333333333333</v>
      </c>
      <c r="AF17" s="8">
        <f>(7239+7577+4220)/3</f>
        <v>6345.333333333333</v>
      </c>
      <c r="AG17" s="48">
        <v>3061.1290322580644</v>
      </c>
      <c r="AH17" s="8">
        <f>(7414+3899+7538)/3</f>
        <v>6283.666666666667</v>
      </c>
      <c r="AI17" s="8">
        <f>(7388+5953+3099)/3</f>
        <v>5480</v>
      </c>
      <c r="AJ17" s="17">
        <f>(5333+3417+6942)/3</f>
        <v>5230.666666666667</v>
      </c>
      <c r="AK17" s="30"/>
      <c r="AL17" s="19">
        <f>(6303+5340+2921)/3</f>
        <v>4854.666666666667</v>
      </c>
      <c r="AM17" s="8">
        <f>(7589+6533+2816)/3</f>
        <v>5646</v>
      </c>
      <c r="AN17" s="48">
        <v>5366.8666666666668</v>
      </c>
      <c r="AO17" s="8">
        <f>(5668+2933+7073)/3</f>
        <v>5224.666666666667</v>
      </c>
      <c r="AP17" s="17">
        <f>(7389+6058+3013)/3</f>
        <v>5486.666666666667</v>
      </c>
      <c r="AQ17" s="30"/>
      <c r="AR17" s="30"/>
      <c r="AS17" s="19">
        <f>(5904+4763+3108)/3</f>
        <v>4591.666666666667</v>
      </c>
      <c r="AT17" s="8">
        <f>(6420+5038+2827)/3</f>
        <v>4761.666666666667</v>
      </c>
      <c r="AU17" s="48">
        <f>(5157+2729+6897)/3</f>
        <v>4927.666666666667</v>
      </c>
      <c r="AV17" s="8">
        <f>(5379+3219+6585)/3</f>
        <v>5061</v>
      </c>
      <c r="AW17" s="17">
        <f>(7421+4543+2855)/3</f>
        <v>4939.666666666667</v>
      </c>
      <c r="AX17" s="30"/>
      <c r="AY17" s="32"/>
      <c r="AZ17" s="8">
        <f>(5604+2902+5980)/3</f>
        <v>4828.666666666667</v>
      </c>
      <c r="BA17" s="8">
        <f>(5130+2964+5534)/3</f>
        <v>4542.666666666667</v>
      </c>
      <c r="BB17" s="48">
        <f>(4659+4287+6794)/3</f>
        <v>5246.666666666667</v>
      </c>
      <c r="BC17" s="8">
        <f>(5978+2859+4215)/3</f>
        <v>4350.666666666667</v>
      </c>
      <c r="BD17" s="17">
        <f>(6261+5572+3223)/3</f>
        <v>5018.666666666667</v>
      </c>
      <c r="BE17" s="30"/>
      <c r="BF17" s="32"/>
      <c r="BG17" s="8"/>
      <c r="BH17" s="8">
        <f>(4892+3143+5940)/3</f>
        <v>4658.333333333333</v>
      </c>
      <c r="BI17" s="48">
        <f>(4737+2489+6385)/3</f>
        <v>4537</v>
      </c>
      <c r="BJ17" s="30">
        <f>(7283+2993+4937)/3</f>
        <v>5071</v>
      </c>
      <c r="BK17" s="17">
        <f>(5267+3440+6787)/3</f>
        <v>5164.666666666667</v>
      </c>
      <c r="BL17" s="30"/>
      <c r="BM17" s="32"/>
      <c r="BN17" s="8">
        <f>(7124+4468+6363)/3</f>
        <v>5985</v>
      </c>
      <c r="BO17" s="8">
        <f>(5467+3491+6505)/3</f>
        <v>5154.333333333333</v>
      </c>
      <c r="BP17" s="48">
        <f>(4989+3513+5962)/3</f>
        <v>4821.333333333333</v>
      </c>
      <c r="BQ17" s="30">
        <f>(7465+3793+5471)/3</f>
        <v>5576.333333333333</v>
      </c>
      <c r="BR17" s="17">
        <f>(5227+3499+6327)/3</f>
        <v>5017.666666666667</v>
      </c>
      <c r="BS17" s="30"/>
      <c r="BT17" s="32"/>
      <c r="BU17" s="8">
        <f>(5647+2926+6327)/3</f>
        <v>4966.666666666667</v>
      </c>
      <c r="BV17" s="8">
        <f>(5735+3571+6590)/3</f>
        <v>5298.666666666667</v>
      </c>
      <c r="BW17" s="48">
        <f>(2797+1658+5757)/3</f>
        <v>3404</v>
      </c>
      <c r="BX17" s="30">
        <f>(7655+3126+7024)/3</f>
        <v>5935</v>
      </c>
      <c r="BY17" s="17">
        <v>5331</v>
      </c>
      <c r="BZ17" s="8"/>
      <c r="CA17" s="26"/>
      <c r="CB17" s="8">
        <f>(6170+3461+6223)/3</f>
        <v>5284.666666666667</v>
      </c>
      <c r="CC17" s="8">
        <f>(4679+3186+5514)/3</f>
        <v>4459.666666666667</v>
      </c>
      <c r="CD17" s="48">
        <f>(2400+2062+7101)/3</f>
        <v>3854.3333333333335</v>
      </c>
      <c r="CE17" s="8">
        <f>(4979+2329+5918)/3</f>
        <v>4408.666666666667</v>
      </c>
      <c r="CF17" s="17">
        <f>(4566+2599+5784)/3</f>
        <v>4316.333333333333</v>
      </c>
      <c r="CG17" s="8"/>
      <c r="CH17" s="26"/>
    </row>
    <row r="18" spans="1:86" x14ac:dyDescent="0.25">
      <c r="A18">
        <v>122</v>
      </c>
      <c r="B18" s="9" t="s">
        <v>22</v>
      </c>
      <c r="C18" s="19">
        <f>(8810+7435+3989)/3</f>
        <v>6744.666666666667</v>
      </c>
      <c r="D18" s="8">
        <f>(9544+7461+5487)/3</f>
        <v>7497.333333333333</v>
      </c>
      <c r="E18" s="50">
        <f>(8911+7824+5255)/3</f>
        <v>7330</v>
      </c>
      <c r="F18" s="8">
        <f>(9339+2747+5319)/3</f>
        <v>5801.666666666667</v>
      </c>
      <c r="G18" s="8">
        <f>(7776+6090+3830)/3</f>
        <v>5898.666666666667</v>
      </c>
      <c r="H18" s="17">
        <f>(6921+4051+8586)/3</f>
        <v>6519.333333333333</v>
      </c>
      <c r="I18" s="32"/>
      <c r="J18" s="8">
        <f>(8368+6679+3788)/3</f>
        <v>6278.333333333333</v>
      </c>
      <c r="K18" s="8">
        <f>(8913+7188+3868)/3</f>
        <v>6656.333333333333</v>
      </c>
      <c r="L18" s="50">
        <f>(9008+7058+4218)/3</f>
        <v>6761.333333333333</v>
      </c>
      <c r="M18" s="8">
        <f>(7766+3489+1544)/3</f>
        <v>4266.333333333333</v>
      </c>
      <c r="N18" s="8">
        <f>(7208+3525+8317)/3</f>
        <v>6350</v>
      </c>
      <c r="O18" s="17">
        <f>(6286+5034+8514)/3</f>
        <v>6611.333333333333</v>
      </c>
      <c r="P18" s="30"/>
      <c r="Q18" s="19">
        <f>(8606+5234+2905)/3</f>
        <v>5581.666666666667</v>
      </c>
      <c r="R18" s="8">
        <f>(9644+6876+5538)/3</f>
        <v>7352.666666666667</v>
      </c>
      <c r="S18" s="48">
        <f>(149974/31)</f>
        <v>4837.8709677419356</v>
      </c>
      <c r="T18" s="8"/>
      <c r="U18" s="8">
        <f>(8434+2510+5499)/3</f>
        <v>5481</v>
      </c>
      <c r="V18" s="17">
        <f>(6080+3678+7975)/3</f>
        <v>5911</v>
      </c>
      <c r="W18" s="8"/>
      <c r="X18" s="19">
        <f>(9011+7344+3662)/3</f>
        <v>6672.333333333333</v>
      </c>
      <c r="Y18" s="8">
        <f>(8959+6891+4734)/3</f>
        <v>6861.333333333333</v>
      </c>
      <c r="Z18" s="8">
        <v>2321.4666666666667</v>
      </c>
      <c r="AA18" s="49">
        <f>(7176+3561+1682)/3</f>
        <v>4139.666666666667</v>
      </c>
      <c r="AB18" s="8">
        <f>(8903+6042+3823)/3</f>
        <v>6256</v>
      </c>
      <c r="AC18" s="17">
        <f>(5915+3344+7295)/3</f>
        <v>5518</v>
      </c>
      <c r="AD18" s="30"/>
      <c r="AE18" s="19">
        <f>(9943+7491+4597)/3</f>
        <v>7343.666666666667</v>
      </c>
      <c r="AF18" s="8">
        <f>(9276+7888+4278)/3</f>
        <v>7147.333333333333</v>
      </c>
      <c r="AG18" s="48">
        <v>3620.3548387096776</v>
      </c>
      <c r="AH18" s="8">
        <f>(6009+3823+8368)/3</f>
        <v>6066.666666666667</v>
      </c>
      <c r="AI18" s="8">
        <f>(8525+6327+5895)/3</f>
        <v>6915.666666666667</v>
      </c>
      <c r="AJ18" s="17">
        <f>(6997+4052+7727)/3</f>
        <v>6258.666666666667</v>
      </c>
      <c r="AK18" s="30"/>
      <c r="AL18" s="19">
        <f>(9732+7845+4293)/3</f>
        <v>7290</v>
      </c>
      <c r="AM18" s="8">
        <f>(9427+6968+3648)/3</f>
        <v>6681</v>
      </c>
      <c r="AN18" s="48">
        <v>7646.166666666667</v>
      </c>
      <c r="AO18" s="8">
        <f>(6034+3381+8666)/3</f>
        <v>6027</v>
      </c>
      <c r="AP18" s="17">
        <f>(8219+5780+3625)/3</f>
        <v>5874.666666666667</v>
      </c>
      <c r="AQ18" s="30"/>
      <c r="AR18" s="30"/>
      <c r="AS18" s="19">
        <f>(7702+5823+3379)/3</f>
        <v>5634.666666666667</v>
      </c>
      <c r="AT18" s="8">
        <f>(9048+6521+5202)/3</f>
        <v>6923.666666666667</v>
      </c>
      <c r="AU18" s="48">
        <f>(7014+7781+9500)/3</f>
        <v>8098.333333333333</v>
      </c>
      <c r="AV18" s="8">
        <f>(5480+4396+8119)/3</f>
        <v>5998.333333333333</v>
      </c>
      <c r="AW18" s="17">
        <f>(7143+5270+3615)/3</f>
        <v>5342.666666666667</v>
      </c>
      <c r="AX18" s="30"/>
      <c r="AY18" s="32"/>
      <c r="AZ18" s="8">
        <f>(5702+3637+7413)/3</f>
        <v>5584</v>
      </c>
      <c r="BA18" s="8">
        <f>(5875+3455+7455)/3</f>
        <v>5595</v>
      </c>
      <c r="BB18" s="48">
        <f>(9013+5038+10494)/3</f>
        <v>8181.666666666667</v>
      </c>
      <c r="BC18" s="8">
        <f>(7271+3436+4451)/3</f>
        <v>5052.666666666667</v>
      </c>
      <c r="BD18" s="17">
        <f>(6462+4338+3794)/3</f>
        <v>4864.666666666667</v>
      </c>
      <c r="BE18" s="30"/>
      <c r="BF18" s="32"/>
      <c r="BG18" s="8"/>
      <c r="BH18" s="8">
        <f>(7064+4112+8744)/3</f>
        <v>6640</v>
      </c>
      <c r="BI18" s="48">
        <f>(6093+3104+8349)/3</f>
        <v>5848.666666666667</v>
      </c>
      <c r="BJ18" s="30">
        <f>(8546+3631+6751)/3</f>
        <v>6309.333333333333</v>
      </c>
      <c r="BK18" s="17">
        <f>(5842+4479+8100)/3</f>
        <v>6140.333333333333</v>
      </c>
      <c r="BL18" s="30"/>
      <c r="BM18" s="32"/>
      <c r="BN18" s="8">
        <f>(8644+5710+8764)/3</f>
        <v>7706</v>
      </c>
      <c r="BO18" s="8">
        <f>(7698+4310+9100)/3</f>
        <v>7036</v>
      </c>
      <c r="BP18" s="48">
        <f>(5752+3139+8179)/3</f>
        <v>5690</v>
      </c>
      <c r="BQ18" s="30">
        <f>(8607+7431+4640)/3</f>
        <v>6892.666666666667</v>
      </c>
      <c r="BR18" s="17">
        <f>(8898+6111+3357)/3</f>
        <v>6122</v>
      </c>
      <c r="BS18" s="30"/>
      <c r="BT18" s="32"/>
      <c r="BU18" s="8">
        <f>(8153+4765+9324)/3</f>
        <v>7414</v>
      </c>
      <c r="BV18" s="8">
        <f>(8036+5598+9247)/3</f>
        <v>7627</v>
      </c>
      <c r="BW18" s="48">
        <f>(3659+1543+7636)/3</f>
        <v>4279.333333333333</v>
      </c>
      <c r="BX18" s="30">
        <f>(7278+3070+8977)/3</f>
        <v>6441.666666666667</v>
      </c>
      <c r="BY18" s="17">
        <v>6756</v>
      </c>
      <c r="BZ18" s="8"/>
      <c r="CA18" s="26"/>
      <c r="CB18" s="8">
        <f>(7883+5479+9473)/3</f>
        <v>7611.666666666667</v>
      </c>
      <c r="CC18" s="8">
        <f>(7742+5108+9408)/3</f>
        <v>7419.333333333333</v>
      </c>
      <c r="CD18" s="48">
        <f>(3418+2649+8433)/3</f>
        <v>4833.333333333333</v>
      </c>
      <c r="CE18" s="8">
        <f>(6455+4459+9130)/3</f>
        <v>6681.333333333333</v>
      </c>
      <c r="CF18" s="17">
        <f>(6732+3977+9068)/3</f>
        <v>6592.333333333333</v>
      </c>
      <c r="CG18" s="8"/>
      <c r="CH18" s="26"/>
    </row>
    <row r="19" spans="1:86" x14ac:dyDescent="0.25">
      <c r="A19">
        <v>122</v>
      </c>
      <c r="B19" s="9" t="s">
        <v>23</v>
      </c>
      <c r="C19" s="19">
        <f>(2090+1351+927)/3</f>
        <v>1456</v>
      </c>
      <c r="D19" s="8">
        <f>(2762+1680+1997)/3</f>
        <v>2146.3333333333335</v>
      </c>
      <c r="E19" s="50">
        <f>(2960+2878+1609)/3</f>
        <v>2482.3333333333335</v>
      </c>
      <c r="F19" s="8">
        <f>(4534+735+2311)/3</f>
        <v>2526.6666666666665</v>
      </c>
      <c r="G19" s="8">
        <f>(2261+1596+1175)/3</f>
        <v>1677.3333333333333</v>
      </c>
      <c r="H19" s="17">
        <f>(1814+1247+2527)/3</f>
        <v>1862.6666666666667</v>
      </c>
      <c r="I19" s="32"/>
      <c r="J19" s="8">
        <f>(2152+1330+719)/3</f>
        <v>1400.3333333333333</v>
      </c>
      <c r="K19" s="8">
        <f>(2543+1821+1211)/3</f>
        <v>1858.3333333333333</v>
      </c>
      <c r="L19" s="50">
        <f>(3023+2264+1435)/3</f>
        <v>2240.6666666666665</v>
      </c>
      <c r="M19" s="8">
        <f>(2664+1113+433)/3</f>
        <v>1403.3333333333333</v>
      </c>
      <c r="N19" s="8">
        <f>(2333+890+2739)/3</f>
        <v>1987.3333333333333</v>
      </c>
      <c r="O19" s="17">
        <f>(1715+1848+2895)/3</f>
        <v>2152.6666666666665</v>
      </c>
      <c r="P19" s="30"/>
      <c r="Q19" s="19">
        <f>(2136+1096+587)/3</f>
        <v>1273</v>
      </c>
      <c r="R19" s="8">
        <f>(3166+1779+1902)</f>
        <v>6847</v>
      </c>
      <c r="S19" s="48">
        <f>(50576/31)</f>
        <v>1631.483870967742</v>
      </c>
      <c r="T19" s="8"/>
      <c r="U19" s="8">
        <f>(3318+908+1975)/3</f>
        <v>2067</v>
      </c>
      <c r="V19" s="17"/>
      <c r="W19" s="8"/>
      <c r="X19" s="19">
        <f>(2377+1677+976)/3</f>
        <v>1676.6666666666667</v>
      </c>
      <c r="Y19" s="8">
        <f>(2842+1729+1675)/3</f>
        <v>2082</v>
      </c>
      <c r="Z19" s="8">
        <v>635.66666666666663</v>
      </c>
      <c r="AA19" s="49">
        <f>(2467+1135+471)/3</f>
        <v>1357.6666666666667</v>
      </c>
      <c r="AB19" s="8">
        <f>(3758+1794+1160)/3</f>
        <v>2237.3333333333335</v>
      </c>
      <c r="AC19" s="17">
        <f>(1443+820+2350)/3</f>
        <v>1537.6666666666667</v>
      </c>
      <c r="AD19" s="30"/>
      <c r="AE19" s="19">
        <f>(3180+1775+1307)/3</f>
        <v>2087.3333333333335</v>
      </c>
      <c r="AF19" s="8">
        <f>(2820+2699+1012)/3</f>
        <v>2177</v>
      </c>
      <c r="AG19" s="48">
        <v>1088.0967741935483</v>
      </c>
      <c r="AH19" s="8">
        <f>(1891+1162+2973)/3</f>
        <v>2008.6666666666667</v>
      </c>
      <c r="AI19" s="8">
        <f>(3607+2004+2544)/3</f>
        <v>2718.3333333333335</v>
      </c>
      <c r="AJ19" s="17">
        <f>(2430+1010+2603)/3</f>
        <v>2014.3333333333333</v>
      </c>
      <c r="AK19" s="30"/>
      <c r="AL19" s="19">
        <f>(3121+2918+1235)/3</f>
        <v>2424.6666666666665</v>
      </c>
      <c r="AM19" s="8">
        <f>(3049+1780+850)/3</f>
        <v>1893</v>
      </c>
      <c r="AN19" s="48">
        <v>5492.7</v>
      </c>
      <c r="AO19" s="8">
        <f>(2036+1006+3288)/3</f>
        <v>2110</v>
      </c>
      <c r="AP19" s="17">
        <f>(3082+2080+1193)/3</f>
        <v>2118.3333333333335</v>
      </c>
      <c r="AQ19" s="30"/>
      <c r="AR19" s="30"/>
      <c r="AS19" s="19">
        <f>(2187+1308+653)/3</f>
        <v>1382.6666666666667</v>
      </c>
      <c r="AT19" s="8">
        <f>(2972+1748+1610)/3</f>
        <v>2110</v>
      </c>
      <c r="AU19" s="48">
        <f>(5012+6196+6455)/3</f>
        <v>5887.666666666667</v>
      </c>
      <c r="AV19" s="8">
        <f>(2061+2186+3017)/3</f>
        <v>2421.3333333333335</v>
      </c>
      <c r="AW19" s="17">
        <f>(3244+2002+1416)/3</f>
        <v>2220.6666666666665</v>
      </c>
      <c r="AX19" s="30"/>
      <c r="AY19" s="32"/>
      <c r="AZ19" s="8">
        <f>(1528+978+2100)/3</f>
        <v>1535.3333333333333</v>
      </c>
      <c r="BA19" s="8">
        <f>(1745+1009+2227)/3</f>
        <v>1660.3333333333333</v>
      </c>
      <c r="BB19" s="48">
        <f>(6014+3181+6889)/3</f>
        <v>5361.333333333333</v>
      </c>
      <c r="BC19" s="8">
        <f>(2523+1227+1481)/3</f>
        <v>1743.6666666666667</v>
      </c>
      <c r="BD19" s="17">
        <f>(2332+1491+1098)/3</f>
        <v>1640.3333333333333</v>
      </c>
      <c r="BE19" s="30"/>
      <c r="BF19" s="32"/>
      <c r="BG19" s="8"/>
      <c r="BH19" s="8">
        <f>(1987+1296+2776)/3</f>
        <v>2019.6666666666667</v>
      </c>
      <c r="BI19" s="48">
        <f>(2190+832+3017)/3</f>
        <v>2013</v>
      </c>
      <c r="BJ19" s="30">
        <f>(2867+1029+2476)/3</f>
        <v>2124</v>
      </c>
      <c r="BK19" s="17">
        <f>(1688+1660+2918)/3</f>
        <v>2088.6666666666665</v>
      </c>
      <c r="BL19" s="30"/>
      <c r="BM19" s="32"/>
      <c r="BN19" s="8">
        <f>(2747+2160+2342)/3</f>
        <v>2416.3333333333335</v>
      </c>
      <c r="BO19" s="8">
        <f>(2202+1438+2792)/3</f>
        <v>2144</v>
      </c>
      <c r="BP19" s="48">
        <f>(1832+872+2896)/3</f>
        <v>1866.6666666666667</v>
      </c>
      <c r="BQ19" s="30">
        <f>(2645+2742+1277)/3</f>
        <v>2221.3333333333335</v>
      </c>
      <c r="BR19" s="17">
        <f>(2089+858+3132)/3</f>
        <v>2026.3333333333333</v>
      </c>
      <c r="BS19" s="30"/>
      <c r="BT19" s="32"/>
      <c r="BU19" s="8">
        <f>(2250+1277+2633)/3</f>
        <v>2053.3333333333335</v>
      </c>
      <c r="BV19" s="8">
        <f>(2722+1872+3317)/3</f>
        <v>2637</v>
      </c>
      <c r="BW19" s="48">
        <f>(1064+443+2458)/3</f>
        <v>1321.6666666666667</v>
      </c>
      <c r="BX19" s="30">
        <f>(2753+865+3363)/3</f>
        <v>2327</v>
      </c>
      <c r="BY19" s="17">
        <v>2259</v>
      </c>
      <c r="BZ19" s="8"/>
      <c r="CA19" s="26"/>
      <c r="CB19" s="8">
        <f>(1548+1316+2450)/3</f>
        <v>1771.3333333333333</v>
      </c>
      <c r="CC19" s="8">
        <f>(2343+1496+2859)/3</f>
        <v>2232.6666666666665</v>
      </c>
      <c r="CD19" s="48">
        <f>(866+648+2587)/3</f>
        <v>1367</v>
      </c>
      <c r="CE19" s="8">
        <f>(1724+1255+3018)/3</f>
        <v>1999</v>
      </c>
      <c r="CF19" s="17">
        <f>(1936+1165+2981)/3</f>
        <v>2027.3333333333333</v>
      </c>
      <c r="CG19" s="8"/>
      <c r="CH19" s="26"/>
    </row>
    <row r="20" spans="1:86" x14ac:dyDescent="0.25">
      <c r="A20">
        <v>317</v>
      </c>
      <c r="B20" s="7" t="s">
        <v>24</v>
      </c>
      <c r="C20" s="19">
        <f>(1222+450+666)/3</f>
        <v>779.33333333333337</v>
      </c>
      <c r="D20" s="8">
        <f>(1028+866+406)/3</f>
        <v>766.66666666666663</v>
      </c>
      <c r="E20" s="50">
        <f>(1388+1046+1175)/3</f>
        <v>1203</v>
      </c>
      <c r="F20" s="8">
        <f>(1296+1040+816)/3</f>
        <v>1050.6666666666667</v>
      </c>
      <c r="G20" s="8">
        <f>(1252+1429+947)/3</f>
        <v>1209.3333333333333</v>
      </c>
      <c r="H20" s="17">
        <f>(1056+973+2245)/3</f>
        <v>1424.6666666666667</v>
      </c>
      <c r="I20" s="32"/>
      <c r="J20" s="8">
        <f>(1044+593+1295)/3</f>
        <v>977.33333333333337</v>
      </c>
      <c r="K20" s="10"/>
      <c r="L20" s="50">
        <f>(1331+704+646)/3</f>
        <v>893.66666666666663</v>
      </c>
      <c r="M20" s="8">
        <f>(1189+1219+688)/3</f>
        <v>1032</v>
      </c>
      <c r="N20" s="8">
        <f>(2462+1795+2932)/3</f>
        <v>2396.3333333333335</v>
      </c>
      <c r="O20" s="17">
        <f>(8683+2800+3717)/3</f>
        <v>5066.666666666667</v>
      </c>
      <c r="P20" s="30"/>
      <c r="Q20" s="19">
        <f>(1485+650+490)/3</f>
        <v>875</v>
      </c>
      <c r="R20" s="10"/>
      <c r="S20" s="48">
        <f>(22048/31)</f>
        <v>711.22580645161293</v>
      </c>
      <c r="T20" s="8"/>
      <c r="U20" s="10">
        <f>(4090+3239+4839)/3</f>
        <v>4056</v>
      </c>
      <c r="V20" s="17"/>
      <c r="W20" s="8"/>
      <c r="X20" s="19">
        <f>(1136+771+991)/3</f>
        <v>966</v>
      </c>
      <c r="Y20" s="8"/>
      <c r="Z20" s="8">
        <v>453.16666666666669</v>
      </c>
      <c r="AA20" s="49">
        <f>(1050+966+587)/3</f>
        <v>867.66666666666663</v>
      </c>
      <c r="AB20" s="8">
        <f>(4642+1883+1635)/3</f>
        <v>2720</v>
      </c>
      <c r="AC20" s="17">
        <f>(1072+1310+1787)/3</f>
        <v>1389.6666666666667</v>
      </c>
      <c r="AD20" s="30"/>
      <c r="AE20" s="19">
        <f>(1182+860+421)/3</f>
        <v>821</v>
      </c>
      <c r="AF20" s="8"/>
      <c r="AG20" s="48">
        <v>619.61290322580646</v>
      </c>
      <c r="AH20" s="8">
        <f>(890+680+2032)/3</f>
        <v>1200.6666666666667</v>
      </c>
      <c r="AI20" s="8">
        <f>(3883+2384+1862)/3</f>
        <v>2709.6666666666665</v>
      </c>
      <c r="AJ20" s="17"/>
      <c r="AK20" s="30"/>
      <c r="AL20" s="19">
        <f>(1399+1272+772)/3</f>
        <v>1147.6666666666667</v>
      </c>
      <c r="AM20" s="8">
        <f>(1516+738+933)/3</f>
        <v>1062.3333333333333</v>
      </c>
      <c r="AN20" s="48">
        <v>1390.1666666666667</v>
      </c>
      <c r="AO20" s="8">
        <f>(1008+1086+2133)/3</f>
        <v>1409</v>
      </c>
      <c r="AP20" s="17">
        <f>(3642+2135+1878)/3</f>
        <v>2551.6666666666665</v>
      </c>
      <c r="AQ20" s="30"/>
      <c r="AR20" s="30"/>
      <c r="AS20" s="19">
        <f>(1128+888+621)/3</f>
        <v>879</v>
      </c>
      <c r="AT20" s="8">
        <f>(1250+897+734)/3</f>
        <v>960.33333333333337</v>
      </c>
      <c r="AU20" s="48">
        <f>(735+252+1181)/3</f>
        <v>722.66666666666663</v>
      </c>
      <c r="AV20" s="8">
        <f>(1631+1043+1892)/3</f>
        <v>1522</v>
      </c>
      <c r="AW20" s="17">
        <f>(3205+2539+1875)/3</f>
        <v>2539.6666666666665</v>
      </c>
      <c r="AX20" s="30"/>
      <c r="AY20" s="32"/>
      <c r="AZ20" s="8">
        <f>(653+487+1251)/3</f>
        <v>797</v>
      </c>
      <c r="BA20" s="8">
        <f>(1083+719+1125)/3</f>
        <v>975.66666666666663</v>
      </c>
      <c r="BB20" s="48"/>
      <c r="BC20" s="8">
        <f>(1078+443+403)/3</f>
        <v>641.33333333333337</v>
      </c>
      <c r="BD20" s="17">
        <f>(2740+1472+2432)/3</f>
        <v>2214.6666666666665</v>
      </c>
      <c r="BE20" s="30"/>
      <c r="BF20" s="32"/>
      <c r="BG20" s="8"/>
      <c r="BH20" s="8">
        <f>(1024+645+1057)/3</f>
        <v>908.66666666666663</v>
      </c>
      <c r="BI20" s="48"/>
      <c r="BJ20" s="39">
        <v>0</v>
      </c>
      <c r="BK20" s="17">
        <f>(1076+831+960)/3</f>
        <v>955.66666666666663</v>
      </c>
      <c r="BL20" s="30"/>
      <c r="BM20" s="32"/>
      <c r="BN20" s="8">
        <f>(670+464+1279)/3</f>
        <v>804.33333333333337</v>
      </c>
      <c r="BO20" s="8">
        <f>(992+778+1400)/3</f>
        <v>1056.6666666666667</v>
      </c>
      <c r="BP20" s="48"/>
      <c r="BQ20" s="34">
        <f>(2078+1743+1403)/3</f>
        <v>1741.3333333333333</v>
      </c>
      <c r="BR20" s="17">
        <f>(1034+1112+2152)/3</f>
        <v>1432.6666666666667</v>
      </c>
      <c r="BS20" s="30"/>
      <c r="BT20" s="32"/>
      <c r="BU20" s="8">
        <f>(1642+502+943)/3</f>
        <v>1029</v>
      </c>
      <c r="BV20" s="8">
        <f>(1265+726+1357)/3</f>
        <v>1116</v>
      </c>
      <c r="BW20" s="48">
        <f>(561+695+964)/3</f>
        <v>740</v>
      </c>
      <c r="BX20" s="30">
        <f>(2102+1423+6227)/3</f>
        <v>3250.6666666666665</v>
      </c>
      <c r="BY20" s="17"/>
      <c r="BZ20" s="8"/>
      <c r="CA20" s="26"/>
      <c r="CB20" s="8">
        <f>(868+585+913)/3</f>
        <v>788.66666666666663</v>
      </c>
      <c r="CC20" s="8">
        <f>(1020+776+1093)/3</f>
        <v>963</v>
      </c>
      <c r="CD20" s="48">
        <f>(616+811+1394)/3</f>
        <v>940.33333333333337</v>
      </c>
      <c r="CE20" s="8">
        <f>(1841+1620+2931)/3</f>
        <v>2130.6666666666665</v>
      </c>
      <c r="CF20" s="17">
        <f>(1032+723+1846)/3</f>
        <v>1200.3333333333333</v>
      </c>
      <c r="CG20" s="8"/>
      <c r="CH20" s="26"/>
    </row>
    <row r="21" spans="1:86" x14ac:dyDescent="0.25">
      <c r="A21">
        <v>317</v>
      </c>
      <c r="B21" s="7" t="s">
        <v>25</v>
      </c>
      <c r="C21" s="19">
        <f>(5858+4934+3811)/3</f>
        <v>4867.666666666667</v>
      </c>
      <c r="D21" s="8">
        <f>(5976+4642+3153)/3</f>
        <v>4590.333333333333</v>
      </c>
      <c r="E21" s="50">
        <f>(6416+5013+3632)/3</f>
        <v>5020.333333333333</v>
      </c>
      <c r="F21" s="8">
        <f>(5315+3172+3261)/3</f>
        <v>3916</v>
      </c>
      <c r="G21" s="8">
        <f>(2101+2661+2091)/3</f>
        <v>2284.3333333333335</v>
      </c>
      <c r="H21" s="17">
        <f>(2440+1731+3687)/3</f>
        <v>2619.3333333333335</v>
      </c>
      <c r="I21" s="32"/>
      <c r="J21" s="8">
        <f>(6276+4763+5569)/3</f>
        <v>5536</v>
      </c>
      <c r="K21" s="10"/>
      <c r="L21" s="50">
        <f>(6510+4914+3508)/3</f>
        <v>4977.333333333333</v>
      </c>
      <c r="M21" s="8">
        <f>(5265+4352+2369)/3</f>
        <v>3995.3333333333335</v>
      </c>
      <c r="N21" s="8">
        <f>(5082+3568+6436)/3</f>
        <v>5028.666666666667</v>
      </c>
      <c r="O21" s="17">
        <f>(5266+2517+5801)/3</f>
        <v>4528</v>
      </c>
      <c r="P21" s="30"/>
      <c r="Q21" s="19">
        <f>(6235+7716+7248)/3</f>
        <v>7066.333333333333</v>
      </c>
      <c r="R21" s="10"/>
      <c r="S21" s="48">
        <f>(109992/31)</f>
        <v>3548.1290322580644</v>
      </c>
      <c r="T21" s="8"/>
      <c r="U21" s="10">
        <f>(6793+3482+2668)/3</f>
        <v>4314.333333333333</v>
      </c>
      <c r="V21" s="17"/>
      <c r="W21" s="8"/>
      <c r="X21" s="19">
        <f>(6379+5285+4069)/3</f>
        <v>5244.333333333333</v>
      </c>
      <c r="Y21" s="8"/>
      <c r="Z21" s="8">
        <v>1786.9</v>
      </c>
      <c r="AA21" s="49">
        <f>(4872+3393+1955)/3</f>
        <v>3406.6666666666665</v>
      </c>
      <c r="AB21" s="8">
        <f>(6915+5345+3658)/3</f>
        <v>5306</v>
      </c>
      <c r="AC21" s="17">
        <f>(2713+2603+4143)/3</f>
        <v>3153</v>
      </c>
      <c r="AD21" s="30"/>
      <c r="AE21" s="19">
        <f>(6585+5124+2853)/3</f>
        <v>4854</v>
      </c>
      <c r="AF21" s="8"/>
      <c r="AG21" s="48">
        <v>2575.5806451612902</v>
      </c>
      <c r="AH21" s="8">
        <f>(5351+3294+7115)/3</f>
        <v>5253.333333333333</v>
      </c>
      <c r="AI21" s="8">
        <f>(6771+5807+3779)/3</f>
        <v>5452.333333333333</v>
      </c>
      <c r="AJ21" s="17"/>
      <c r="AK21" s="30"/>
      <c r="AL21" s="19">
        <f>(6762+5893+4163)/3</f>
        <v>5606</v>
      </c>
      <c r="AM21" s="8">
        <f>(13111+7305+5240)/3</f>
        <v>8552</v>
      </c>
      <c r="AN21" s="48">
        <v>4869.666666666667</v>
      </c>
      <c r="AO21" s="8">
        <f>(6100+4132+7526)/3</f>
        <v>5919.333333333333</v>
      </c>
      <c r="AP21" s="17">
        <f>(6642+4722+3584)/3</f>
        <v>4982.666666666667</v>
      </c>
      <c r="AQ21" s="30"/>
      <c r="AR21" s="30"/>
      <c r="AS21" s="19">
        <f>(5792+4464+3506)/3</f>
        <v>4587.333333333333</v>
      </c>
      <c r="AT21" s="8">
        <f>(6187+4236+3794)/3</f>
        <v>4739</v>
      </c>
      <c r="AU21" s="48">
        <f>(2878+1054+4372)/3</f>
        <v>2768</v>
      </c>
      <c r="AV21" s="8">
        <f>(5860+3914+6730)/3</f>
        <v>5501.333333333333</v>
      </c>
      <c r="AW21" s="17">
        <f>(6586+5097+3552)/3</f>
        <v>5078.333333333333</v>
      </c>
      <c r="AX21" s="30"/>
      <c r="AY21" s="32"/>
      <c r="AZ21" s="8">
        <f>(4163+2974+5755)/3</f>
        <v>4297.333333333333</v>
      </c>
      <c r="BA21" s="8">
        <f>(4470+3083+5193)/3</f>
        <v>4248.666666666667</v>
      </c>
      <c r="BB21" s="48"/>
      <c r="BC21" s="8">
        <f>(3791+1681+1773)/3</f>
        <v>2415</v>
      </c>
      <c r="BD21" s="17">
        <f>(5200+3740+4027)/3</f>
        <v>4322.333333333333</v>
      </c>
      <c r="BE21" s="30"/>
      <c r="BF21" s="32"/>
      <c r="BG21" s="8"/>
      <c r="BH21" s="8">
        <f>(5293+3305+5961)/3</f>
        <v>4853</v>
      </c>
      <c r="BI21" s="48"/>
      <c r="BJ21" s="39">
        <v>0</v>
      </c>
      <c r="BK21" s="17">
        <f>(2367+1633+2170)/3</f>
        <v>2056.6666666666665</v>
      </c>
      <c r="BL21" s="30"/>
      <c r="BM21" s="32"/>
      <c r="BN21" s="8">
        <f>(5659+3774+7253)/3</f>
        <v>5562</v>
      </c>
      <c r="BO21" s="8">
        <f>(5547+4693+7195)/3</f>
        <v>5811.666666666667</v>
      </c>
      <c r="BP21" s="48"/>
      <c r="BQ21" s="34">
        <f>(5269+4726+3776)/3</f>
        <v>4590.333333333333</v>
      </c>
      <c r="BR21" s="17">
        <f>(2433+3169+5019)/3</f>
        <v>3540.3333333333335</v>
      </c>
      <c r="BS21" s="30"/>
      <c r="BT21" s="32"/>
      <c r="BU21" s="8">
        <f>(7149+4347+6460)/3</f>
        <v>5985.333333333333</v>
      </c>
      <c r="BV21" s="8">
        <f>(5912+4267+6625)/3</f>
        <v>5601.333333333333</v>
      </c>
      <c r="BW21" s="48">
        <f>(2517+1682+4414)/3</f>
        <v>2871</v>
      </c>
      <c r="BX21" s="30">
        <f>(5846+3787+7091)/3</f>
        <v>5574.666666666667</v>
      </c>
      <c r="BY21" s="17"/>
      <c r="BZ21" s="8"/>
      <c r="CA21" s="26"/>
      <c r="CB21" s="8">
        <f>(5202+3433+6035)/3</f>
        <v>4890</v>
      </c>
      <c r="CC21" s="8">
        <f>(5404+3576+6122)/3</f>
        <v>5034</v>
      </c>
      <c r="CD21" s="48">
        <f>(2517+2535+5731)/3</f>
        <v>3594.3333333333335</v>
      </c>
      <c r="CE21" s="8">
        <f>(5267+3272+6312)/3</f>
        <v>4950.333333333333</v>
      </c>
      <c r="CF21" s="17">
        <f>(2559+1436+3370)/3</f>
        <v>2455</v>
      </c>
      <c r="CG21" s="8"/>
      <c r="CH21" s="26"/>
    </row>
    <row r="22" spans="1:86" x14ac:dyDescent="0.25">
      <c r="A22">
        <v>215</v>
      </c>
      <c r="B22" s="7" t="s">
        <v>26</v>
      </c>
      <c r="C22" s="19">
        <f>(6360+5260+3056)/3</f>
        <v>4892</v>
      </c>
      <c r="D22" s="8">
        <f>(5956+4816+2943)/3</f>
        <v>4571.666666666667</v>
      </c>
      <c r="E22" s="50">
        <f>(8002+13041+8780)/3</f>
        <v>9941</v>
      </c>
      <c r="F22" s="8">
        <f>(5315+3172+3261)/3</f>
        <v>3916</v>
      </c>
      <c r="G22" s="8">
        <f>(6598+4364+2591)/3</f>
        <v>4517.666666666667</v>
      </c>
      <c r="H22" s="17">
        <f>(5563+2792+5628)/3</f>
        <v>4661</v>
      </c>
      <c r="I22" s="32"/>
      <c r="J22" s="8">
        <f>(6289+4878+3031)/3</f>
        <v>4732.666666666667</v>
      </c>
      <c r="K22" s="8">
        <f>(6245+4453+2840)/3</f>
        <v>4512.666666666667</v>
      </c>
      <c r="L22" s="50">
        <f>(11625+6195+3851)/3</f>
        <v>7223.666666666667</v>
      </c>
      <c r="M22" s="8">
        <f>(5319+2683+1731)/3</f>
        <v>3244.3333333333335</v>
      </c>
      <c r="N22" s="8">
        <v>5029</v>
      </c>
      <c r="O22" s="17">
        <f>(4664+2823+6052)/3</f>
        <v>4513</v>
      </c>
      <c r="P22" s="30"/>
      <c r="Q22" s="19">
        <f>(6635+3962+2911)/3</f>
        <v>4502.666666666667</v>
      </c>
      <c r="R22" s="8">
        <f>(6158+4210+2188)/3</f>
        <v>4185.333333333333</v>
      </c>
      <c r="S22" s="48">
        <f>(115702/31)</f>
        <v>3732.3225806451615</v>
      </c>
      <c r="T22" s="8"/>
      <c r="U22" s="8">
        <f>(6129+2322+4775)/3</f>
        <v>4408.666666666667</v>
      </c>
      <c r="V22" s="17">
        <f>(4870+2756+6286)/3</f>
        <v>4637.333333333333</v>
      </c>
      <c r="W22" s="8"/>
      <c r="X22" s="19">
        <f>(6483+4641+2720)/3</f>
        <v>4614.666666666667</v>
      </c>
      <c r="Y22" s="8">
        <f>(6487+5156+2956)/3</f>
        <v>4866.333333333333</v>
      </c>
      <c r="Z22" s="8">
        <v>1328.0333333333333</v>
      </c>
      <c r="AA22" s="49">
        <f>(4969+2715+1882)/3</f>
        <v>3188.6666666666665</v>
      </c>
      <c r="AB22" s="8">
        <f>(10322+5133+2411)/3</f>
        <v>5955.333333333333</v>
      </c>
      <c r="AC22" s="17">
        <f>(6217+2982+10825)/3</f>
        <v>6674.666666666667</v>
      </c>
      <c r="AD22" s="30"/>
      <c r="AE22" s="19">
        <f>(6748+4831+2831)/3</f>
        <v>4803.333333333333</v>
      </c>
      <c r="AF22" s="8">
        <f>(6986+5672+5432)/3</f>
        <v>6030</v>
      </c>
      <c r="AG22" s="48">
        <v>3732.7096774193546</v>
      </c>
      <c r="AH22" s="8">
        <f>(4990+3422+6803)/3</f>
        <v>5071.666666666667</v>
      </c>
      <c r="AI22" s="8">
        <f>(6128+4834+3179)/3</f>
        <v>4713.666666666667</v>
      </c>
      <c r="AJ22" s="17">
        <f>(4958+3867+6208)/3</f>
        <v>5011</v>
      </c>
      <c r="AK22" s="30"/>
      <c r="AL22" s="27">
        <f>(6616+4736+2775)/3</f>
        <v>4709</v>
      </c>
      <c r="AM22" s="8">
        <f>(8999+5084+2976)/3</f>
        <v>5686.333333333333</v>
      </c>
      <c r="AN22" s="48">
        <v>6181.8</v>
      </c>
      <c r="AO22" s="8">
        <f>(4936+2848+6195)/3</f>
        <v>4659.666666666667</v>
      </c>
      <c r="AP22" s="17">
        <f>(5472+3818+2509)/3</f>
        <v>3933</v>
      </c>
      <c r="AQ22" s="30"/>
      <c r="AR22" s="30"/>
      <c r="AS22" s="19">
        <f>(5791+4097+2543)/3</f>
        <v>4143.666666666667</v>
      </c>
      <c r="AT22" s="8">
        <f>(8348+13773+14272)/3</f>
        <v>12131</v>
      </c>
      <c r="AU22" s="48">
        <f>(9168+25133+17491)/3</f>
        <v>17264</v>
      </c>
      <c r="AV22" s="8">
        <f>(4027+3220+6205)/3</f>
        <v>4484</v>
      </c>
      <c r="AW22" s="17">
        <f>(5775+3744+2501)/3</f>
        <v>4006.6666666666665</v>
      </c>
      <c r="AX22" s="30"/>
      <c r="AY22" s="32"/>
      <c r="AZ22" s="8">
        <f>(4020+3009+5577)/3</f>
        <v>4202</v>
      </c>
      <c r="BA22" s="8">
        <f>(4753+11499+9114)/3</f>
        <v>8455.3333333333339</v>
      </c>
      <c r="BB22" s="48">
        <f>(3994+3180+7744)/3</f>
        <v>4972.666666666667</v>
      </c>
      <c r="BC22" s="8">
        <f>(5495+2723+10929)/3</f>
        <v>6382.333333333333</v>
      </c>
      <c r="BD22" s="17">
        <f>(4915+3279+2295)/3</f>
        <v>3496.3333333333335</v>
      </c>
      <c r="BE22" s="30"/>
      <c r="BF22" s="32"/>
      <c r="BG22" s="8"/>
      <c r="BH22" s="8">
        <f>(4956+3388+10563)/3</f>
        <v>6302.333333333333</v>
      </c>
      <c r="BI22" s="48">
        <f>(11986+9690+6899)/3</f>
        <v>9525</v>
      </c>
      <c r="BJ22" s="30">
        <f>(6132+5211+3435)/3</f>
        <v>4926</v>
      </c>
      <c r="BK22" s="17">
        <f>(5148+3500+6804)/3</f>
        <v>5150.666666666667</v>
      </c>
      <c r="BL22" s="30"/>
      <c r="BM22" s="32"/>
      <c r="BN22" s="8">
        <f>(5672+3491+6938)/3</f>
        <v>5367</v>
      </c>
      <c r="BO22" s="8">
        <f>(17669+9146+6902)/3</f>
        <v>11239</v>
      </c>
      <c r="BP22" s="48">
        <f>(3803+2532+7061)/3</f>
        <v>4465.333333333333</v>
      </c>
      <c r="BQ22" s="30">
        <f>(6788+5071+3173)/3</f>
        <v>5010.666666666667</v>
      </c>
      <c r="BR22" s="17">
        <f>(4189+3644+7283)/3</f>
        <v>5038.666666666667</v>
      </c>
      <c r="BS22" s="30"/>
      <c r="BT22" s="32"/>
      <c r="BU22" s="8">
        <f>(5434+3811+6362)/3</f>
        <v>5202.333333333333</v>
      </c>
      <c r="BV22" s="8">
        <f>(10504+4381+8872)/3</f>
        <v>7919</v>
      </c>
      <c r="BW22" s="48">
        <f>(2424+1575+5429)/3</f>
        <v>3142.6666666666665</v>
      </c>
      <c r="BX22" s="30">
        <f>(7711+3113+7608)/3</f>
        <v>6144</v>
      </c>
      <c r="BY22" s="17">
        <v>9281</v>
      </c>
      <c r="BZ22" s="8"/>
      <c r="CA22" s="26"/>
      <c r="CB22" s="8">
        <f>(5355+3078+6057)/3</f>
        <v>4830</v>
      </c>
      <c r="CC22" s="8">
        <f>(5786+4343+8504)/3</f>
        <v>6211</v>
      </c>
      <c r="CD22" s="48">
        <f>(3360+4506+7898)/3</f>
        <v>5254.666666666667</v>
      </c>
      <c r="CE22" s="8">
        <f>(5087+3535+6119)/3</f>
        <v>4913.666666666667</v>
      </c>
      <c r="CF22" s="17">
        <f>(5205+3044+6395)/3</f>
        <v>4881.333333333333</v>
      </c>
      <c r="CG22" s="8"/>
      <c r="CH22" s="26"/>
    </row>
    <row r="23" spans="1:86" x14ac:dyDescent="0.25">
      <c r="A23">
        <v>215</v>
      </c>
      <c r="B23" s="7" t="s">
        <v>27</v>
      </c>
      <c r="C23" s="19"/>
      <c r="D23" s="8">
        <f>(3487+3312+1617)/3</f>
        <v>2805.3333333333335</v>
      </c>
      <c r="E23" s="50">
        <f>(3527+3854+4095)/3</f>
        <v>3825.3333333333335</v>
      </c>
      <c r="F23" s="8">
        <f>(3561+2529+1924)/3</f>
        <v>2671.3333333333335</v>
      </c>
      <c r="G23" s="8">
        <f>(2965+2026+1510)/3</f>
        <v>2167</v>
      </c>
      <c r="H23" s="17">
        <f>(3951+2827+3404)/3</f>
        <v>3394</v>
      </c>
      <c r="I23" s="32"/>
      <c r="J23" s="8"/>
      <c r="K23" s="8">
        <f>(3174+2777+2232)/3</f>
        <v>2727.6666666666665</v>
      </c>
      <c r="L23" s="50">
        <f>(3376+2395+2357)/3</f>
        <v>2709.3333333333335</v>
      </c>
      <c r="M23" s="8">
        <f>(5319+2683+1731)/3</f>
        <v>3244.3333333333335</v>
      </c>
      <c r="N23" s="8">
        <f>(2450+1711+3289)/3</f>
        <v>2483.3333333333335</v>
      </c>
      <c r="O23" s="17">
        <f>(2880+3471+3728)/3</f>
        <v>3359.6666666666665</v>
      </c>
      <c r="P23" s="30"/>
      <c r="Q23" s="19"/>
      <c r="R23" s="8">
        <f>(3458+2675+2221)/3</f>
        <v>2784.6666666666665</v>
      </c>
      <c r="S23" s="48">
        <f>(48727/31)</f>
        <v>1571.8387096774193</v>
      </c>
      <c r="T23" s="8"/>
      <c r="U23" s="8">
        <f>(3896+3134+1836)/3</f>
        <v>2955.3333333333335</v>
      </c>
      <c r="V23" s="17">
        <f>(4587+5945+3966)/3</f>
        <v>4832.666666666667</v>
      </c>
      <c r="W23" s="8"/>
      <c r="X23" s="19">
        <f>(4052+4011+1542)/3</f>
        <v>3201.6666666666665</v>
      </c>
      <c r="Y23" s="8">
        <f>(3294+3056+2044)/3</f>
        <v>2798</v>
      </c>
      <c r="Z23" s="8">
        <v>762.5</v>
      </c>
      <c r="AA23" s="49">
        <f>(2820+2660+2817)/3</f>
        <v>2765.6666666666665</v>
      </c>
      <c r="AB23" s="8">
        <f>(4172+4843+5768)/3</f>
        <v>4927.666666666667</v>
      </c>
      <c r="AC23" s="17">
        <f>(6488+2234+4102)/3</f>
        <v>4274.666666666667</v>
      </c>
      <c r="AD23" s="30"/>
      <c r="AE23" s="19">
        <f>(5323+5109+3446)/3</f>
        <v>4626</v>
      </c>
      <c r="AF23" s="8">
        <f>(6393+3690+3535)/3</f>
        <v>4539.333333333333</v>
      </c>
      <c r="AG23" s="48">
        <v>1424.6129032258063</v>
      </c>
      <c r="AH23" s="8">
        <f>(1974+2036+3086)/3</f>
        <v>2365.3333333333335</v>
      </c>
      <c r="AI23" s="8">
        <f>(3312+2666+2228)/3</f>
        <v>2735.3333333333335</v>
      </c>
      <c r="AJ23" s="17">
        <f>(3043+3528+3787)/3</f>
        <v>3452.6666666666665</v>
      </c>
      <c r="AK23" s="30"/>
      <c r="AL23" s="19">
        <f>(3872+2740+2574)/3</f>
        <v>3062</v>
      </c>
      <c r="AM23" s="8">
        <f>(3815+2476+2066)/3</f>
        <v>2785.6666666666665</v>
      </c>
      <c r="AN23" s="48">
        <v>2488.6666666666665</v>
      </c>
      <c r="AO23" s="8">
        <f>(2134+1343+3113)/3</f>
        <v>2196.6666666666665</v>
      </c>
      <c r="AP23" s="17">
        <f>(3330+2194+1570)/3</f>
        <v>2364.6666666666665</v>
      </c>
      <c r="AQ23" s="30"/>
      <c r="AR23" s="30"/>
      <c r="AS23" s="19">
        <f>(3448+3108+4249)/3</f>
        <v>3601.6666666666665</v>
      </c>
      <c r="AT23" s="8">
        <f>(3415+3264+3139)/3</f>
        <v>3272.6666666666665</v>
      </c>
      <c r="AU23" s="48">
        <f>(2295+2118+3384)/3</f>
        <v>2599</v>
      </c>
      <c r="AV23" s="8">
        <f>(2809+1864+4528)/3</f>
        <v>3067</v>
      </c>
      <c r="AW23" s="17">
        <f>(3075+1847+1628)/3</f>
        <v>2183.3333333333335</v>
      </c>
      <c r="AX23" s="30"/>
      <c r="AY23" s="32"/>
      <c r="AZ23" s="8">
        <f>(2488+1976+3260)/3</f>
        <v>2574.6666666666665</v>
      </c>
      <c r="BA23" s="8">
        <f>(2200+3261+3212)/3</f>
        <v>2891</v>
      </c>
      <c r="BB23" s="48">
        <f>(2055+2994+2962)/3</f>
        <v>2670.3333333333335</v>
      </c>
      <c r="BC23" s="8">
        <f>(5101+3651+4653)/3</f>
        <v>4468.333333333333</v>
      </c>
      <c r="BD23" s="17">
        <f>(2690+1898+1735)/3</f>
        <v>2107.6666666666665</v>
      </c>
      <c r="BE23" s="30"/>
      <c r="BF23" s="32"/>
      <c r="BG23" s="8"/>
      <c r="BH23" s="8">
        <f>(3931+2787+3872)/3</f>
        <v>3530</v>
      </c>
      <c r="BI23" s="48">
        <f>(4230+2384+4075)/3</f>
        <v>3563</v>
      </c>
      <c r="BJ23" s="30">
        <f>(3775+2520+4661)/3</f>
        <v>3652</v>
      </c>
      <c r="BK23" s="17">
        <f>(2191+1745+3118)/3</f>
        <v>2351.3333333333335</v>
      </c>
      <c r="BL23" s="30"/>
      <c r="BM23" s="32"/>
      <c r="BN23" s="8">
        <f>(2548+2390+3342)/3</f>
        <v>2760</v>
      </c>
      <c r="BO23" s="8">
        <f>(1892+1874+1846)/3</f>
        <v>1870.6666666666667</v>
      </c>
      <c r="BP23" s="48">
        <f>(2072+2469+3784)/3</f>
        <v>2775</v>
      </c>
      <c r="BQ23" s="30">
        <f>(5308+3450+4984)/3</f>
        <v>4580.666666666667</v>
      </c>
      <c r="BR23" s="17">
        <f>(2382+3750+4565)/3</f>
        <v>3565.6666666666665</v>
      </c>
      <c r="BS23" s="30"/>
      <c r="BT23" s="32"/>
      <c r="BU23" s="8">
        <f>(2924+2141+3556)/3</f>
        <v>2873.6666666666665</v>
      </c>
      <c r="BV23" s="8">
        <f>(2514+2452+3636)/3</f>
        <v>2867.3333333333335</v>
      </c>
      <c r="BW23" s="48">
        <f>(1504+1039+3206)/3</f>
        <v>1916.3333333333333</v>
      </c>
      <c r="BX23" s="30">
        <f>(3486+1901+4269)/3</f>
        <v>3218.6666666666665</v>
      </c>
      <c r="BY23" s="17">
        <v>3284</v>
      </c>
      <c r="BZ23" s="8"/>
      <c r="CA23" s="26"/>
      <c r="CB23" s="8">
        <f>(3255+2385+3387)/3</f>
        <v>3009</v>
      </c>
      <c r="CC23" s="8">
        <f>(2763+2552+3421)/3</f>
        <v>2912</v>
      </c>
      <c r="CD23" s="48">
        <f>(1063+1378+2726)/3</f>
        <v>1722.3333333333333</v>
      </c>
      <c r="CE23" s="8">
        <f>(2880+1661+2809)/3</f>
        <v>2450</v>
      </c>
      <c r="CF23" s="17">
        <f>(4552+2236+3755)/3</f>
        <v>3514.3333333333335</v>
      </c>
      <c r="CG23" s="8"/>
      <c r="CH23" s="26"/>
    </row>
    <row r="24" spans="1:86" x14ac:dyDescent="0.25">
      <c r="A24">
        <v>401</v>
      </c>
      <c r="B24" s="41" t="s">
        <v>54</v>
      </c>
      <c r="C24" s="19"/>
      <c r="D24" s="8"/>
      <c r="E24" s="50"/>
      <c r="F24" s="8"/>
      <c r="G24" s="8">
        <f>(4951+4270+2321)/3</f>
        <v>3847.3333333333335</v>
      </c>
      <c r="H24" s="17">
        <f>(4408+2625+4755)/3</f>
        <v>3929.3333333333335</v>
      </c>
      <c r="I24" s="32"/>
      <c r="J24" s="8"/>
      <c r="K24" s="8"/>
      <c r="L24" s="50"/>
      <c r="M24" s="8"/>
      <c r="N24" s="8">
        <f>(10045+7793+9600)/3</f>
        <v>9146</v>
      </c>
      <c r="O24" s="17">
        <f>(2880+3471+3778)/3</f>
        <v>3376.3333333333335</v>
      </c>
      <c r="P24" s="30"/>
      <c r="Q24" s="19"/>
      <c r="R24" s="8"/>
      <c r="S24" s="48"/>
      <c r="T24" s="8"/>
      <c r="U24" s="8">
        <f>(4871+1321+2284)/3</f>
        <v>2825.3333333333335</v>
      </c>
      <c r="V24" s="17">
        <f>(4104+2616+4649)/3</f>
        <v>3789.6666666666665</v>
      </c>
      <c r="W24" s="8"/>
      <c r="X24" s="19"/>
      <c r="Y24" s="8"/>
      <c r="Z24" s="8"/>
      <c r="AA24" s="49"/>
      <c r="AB24" s="8">
        <f>(6202+4755+2615)/3</f>
        <v>4524</v>
      </c>
      <c r="AC24" s="17">
        <f>(4346+2443+5615)/3</f>
        <v>4134.666666666667</v>
      </c>
      <c r="AD24" s="30"/>
      <c r="AE24" s="19"/>
      <c r="AF24" s="8"/>
      <c r="AG24" s="48"/>
      <c r="AH24" s="8"/>
      <c r="AI24" s="8">
        <f>(4694+3985+2808)/3</f>
        <v>3829</v>
      </c>
      <c r="AJ24" s="17">
        <f>(4089+2686+4409)/3</f>
        <v>3728</v>
      </c>
      <c r="AK24" s="30"/>
      <c r="AL24" s="19"/>
      <c r="AM24" s="8"/>
      <c r="AN24" s="48"/>
      <c r="AO24" s="8"/>
      <c r="AP24" s="17">
        <f>(4527+3718+2488)/3</f>
        <v>3577.6666666666665</v>
      </c>
      <c r="AQ24" s="30"/>
      <c r="AR24" s="30"/>
      <c r="AS24" s="19"/>
      <c r="AT24" s="8"/>
      <c r="AU24" s="48"/>
      <c r="AV24" s="8"/>
      <c r="AW24" s="17">
        <f>(4422+3531+2161)/3</f>
        <v>3371.3333333333335</v>
      </c>
      <c r="AX24" s="30"/>
      <c r="AY24" s="32"/>
      <c r="AZ24" s="8"/>
      <c r="BA24" s="8"/>
      <c r="BB24" s="48"/>
      <c r="BC24" s="8"/>
      <c r="BD24" s="17">
        <f>(4058+3320+2110)/3</f>
        <v>3162.6666666666665</v>
      </c>
      <c r="BE24" s="30"/>
      <c r="BF24" s="32"/>
      <c r="BG24" s="8"/>
      <c r="BH24" s="8"/>
      <c r="BI24" s="48"/>
      <c r="BJ24" s="30"/>
      <c r="BK24" s="17">
        <f>(4211+2446+4816)/3</f>
        <v>3824.3333333333335</v>
      </c>
      <c r="BL24" s="30"/>
      <c r="BM24" s="32"/>
      <c r="BN24" s="8"/>
      <c r="BO24" s="8"/>
      <c r="BP24" s="48"/>
      <c r="BQ24" s="30"/>
      <c r="BR24" s="17">
        <f>(4075+3024+5213)/3</f>
        <v>4104</v>
      </c>
      <c r="BS24" s="30"/>
      <c r="BT24" s="32"/>
      <c r="BU24" s="8"/>
      <c r="BV24" s="8"/>
      <c r="BW24" s="48"/>
      <c r="BX24" s="30"/>
      <c r="BY24" s="17">
        <v>6656</v>
      </c>
      <c r="BZ24" s="8"/>
      <c r="CA24" s="26"/>
      <c r="CB24" s="8"/>
      <c r="CC24" s="8"/>
      <c r="CD24" s="48"/>
      <c r="CE24" s="8">
        <f>(4304+3705+5403)/3</f>
        <v>4470.666666666667</v>
      </c>
      <c r="CF24" s="17">
        <f>(2382+1681+3382)/3</f>
        <v>2481.6666666666665</v>
      </c>
      <c r="CG24" s="8"/>
      <c r="CH24" s="26"/>
    </row>
    <row r="25" spans="1:86" x14ac:dyDescent="0.25">
      <c r="A25">
        <v>401</v>
      </c>
      <c r="B25" s="41" t="s">
        <v>55</v>
      </c>
      <c r="C25" s="19"/>
      <c r="D25" s="8"/>
      <c r="E25" s="50"/>
      <c r="F25" s="8"/>
      <c r="G25" s="8">
        <f>(1648+1193+746)/3</f>
        <v>1195.6666666666667</v>
      </c>
      <c r="H25" s="17">
        <f>(1155+761+1329)/3</f>
        <v>1081.6666666666667</v>
      </c>
      <c r="I25" s="32"/>
      <c r="J25" s="8"/>
      <c r="K25" s="8"/>
      <c r="L25" s="50"/>
      <c r="M25" s="8"/>
      <c r="N25" s="8">
        <f>(1687+1241+2042)/3</f>
        <v>1656.6666666666667</v>
      </c>
      <c r="O25" s="17">
        <f>(1341+969+1501)/3</f>
        <v>1270.3333333333333</v>
      </c>
      <c r="P25" s="30"/>
      <c r="Q25" s="19"/>
      <c r="R25" s="8"/>
      <c r="S25" s="48"/>
      <c r="T25" s="8"/>
      <c r="U25" s="8">
        <f>(1761+726+833)/3</f>
        <v>1106.6666666666667</v>
      </c>
      <c r="V25" s="17">
        <f>(1371+962+1780)/3</f>
        <v>1371</v>
      </c>
      <c r="W25" s="8"/>
      <c r="X25" s="19"/>
      <c r="Y25" s="8"/>
      <c r="Z25" s="8"/>
      <c r="AA25" s="49"/>
      <c r="AB25" s="8">
        <f>(2773+1479+1076)/3</f>
        <v>1776</v>
      </c>
      <c r="AC25" s="17">
        <f>(1366+1043+1606)/3</f>
        <v>1338.3333333333333</v>
      </c>
      <c r="AD25" s="30"/>
      <c r="AE25" s="19"/>
      <c r="AF25" s="8"/>
      <c r="AG25" s="48"/>
      <c r="AH25" s="8"/>
      <c r="AI25" s="8">
        <f>(3105+2876+1290)/3</f>
        <v>2423.6666666666665</v>
      </c>
      <c r="AJ25" s="17">
        <f>(1451+1003+1807)/3</f>
        <v>1420.3333333333333</v>
      </c>
      <c r="AK25" s="30"/>
      <c r="AL25" s="19"/>
      <c r="AM25" s="8"/>
      <c r="AN25" s="48"/>
      <c r="AO25" s="8"/>
      <c r="AP25" s="17">
        <f>(1940+1443+1101)/3</f>
        <v>1494.6666666666667</v>
      </c>
      <c r="AQ25" s="30"/>
      <c r="AR25" s="30"/>
      <c r="AS25" s="19"/>
      <c r="AT25" s="8"/>
      <c r="AU25" s="48"/>
      <c r="AV25" s="8"/>
      <c r="AW25" s="17">
        <f>(1750+1348+968)/3</f>
        <v>1355.3333333333333</v>
      </c>
      <c r="AX25" s="30"/>
      <c r="AY25" s="32"/>
      <c r="AZ25" s="8"/>
      <c r="BA25" s="8"/>
      <c r="BB25" s="48"/>
      <c r="BC25" s="8"/>
      <c r="BD25" s="17">
        <f>(1425+1232+937)/3</f>
        <v>1198</v>
      </c>
      <c r="BE25" s="30"/>
      <c r="BF25" s="32"/>
      <c r="BG25" s="8"/>
      <c r="BH25" s="8"/>
      <c r="BI25" s="48"/>
      <c r="BJ25" s="30"/>
      <c r="BK25" s="17">
        <f>(1239+1119+1814)/3</f>
        <v>1390.6666666666667</v>
      </c>
      <c r="BL25" s="30"/>
      <c r="BM25" s="32"/>
      <c r="BN25" s="8"/>
      <c r="BO25" s="8"/>
      <c r="BP25" s="48"/>
      <c r="BQ25" s="30"/>
      <c r="BR25" s="17">
        <f>(1576+1057+1617)/3</f>
        <v>1416.6666666666667</v>
      </c>
      <c r="BS25" s="30"/>
      <c r="BT25" s="32"/>
      <c r="BU25" s="8"/>
      <c r="BV25" s="8"/>
      <c r="BW25" s="48"/>
      <c r="BX25" s="30"/>
      <c r="BY25" s="17">
        <v>1253</v>
      </c>
      <c r="BZ25" s="8"/>
      <c r="CA25" s="26"/>
      <c r="CB25" s="8"/>
      <c r="CC25" s="8"/>
      <c r="CD25" s="48"/>
      <c r="CE25" s="8">
        <f>(1559+1755+2578)/3</f>
        <v>1964</v>
      </c>
      <c r="CF25" s="17">
        <f>(702+408+1015)/3</f>
        <v>708.33333333333337</v>
      </c>
      <c r="CG25" s="8"/>
      <c r="CH25" s="26"/>
    </row>
    <row r="26" spans="1:86" x14ac:dyDescent="0.25">
      <c r="A26">
        <v>404</v>
      </c>
      <c r="B26" s="7" t="s">
        <v>28</v>
      </c>
      <c r="C26" s="19">
        <f>(9175+8198+5328)/3</f>
        <v>7567</v>
      </c>
      <c r="D26" s="8">
        <f>(9068+7604+4594)/3</f>
        <v>7088.666666666667</v>
      </c>
      <c r="E26" s="50">
        <f>(8240+7328+4774)/3</f>
        <v>6780.666666666667</v>
      </c>
      <c r="F26" s="8">
        <f>(7199+3764+4354)/3</f>
        <v>5105.666666666667</v>
      </c>
      <c r="G26" s="8">
        <f>(7273+5846+3873)/3</f>
        <v>5664</v>
      </c>
      <c r="H26" s="17">
        <f>(6031+4015+7194)/3</f>
        <v>5746.666666666667</v>
      </c>
      <c r="I26" s="32"/>
      <c r="J26" s="8">
        <f>(9372+7719+5441)/3</f>
        <v>7510.666666666667</v>
      </c>
      <c r="K26" s="8">
        <f>(8975+7727+5440)/3</f>
        <v>7380.666666666667</v>
      </c>
      <c r="L26" s="50">
        <f>(8773+7165+4724)/3</f>
        <v>6887.333333333333</v>
      </c>
      <c r="M26" s="8">
        <f>(7861+7872+3740)/3</f>
        <v>6491</v>
      </c>
      <c r="N26" s="8">
        <f>(6135+4409+7625)/3</f>
        <v>6056.333333333333</v>
      </c>
      <c r="O26" s="17">
        <f>(5732+4294+7569)/3</f>
        <v>5865</v>
      </c>
      <c r="P26" s="30"/>
      <c r="Q26" s="19">
        <f>(14365+13607+14005)/3</f>
        <v>13992.333333333334</v>
      </c>
      <c r="R26" s="8">
        <f>(9215+7824+5285)/3</f>
        <v>7441.333333333333</v>
      </c>
      <c r="S26" s="48">
        <f>(133032/31)</f>
        <v>4291.3548387096771</v>
      </c>
      <c r="T26" s="8"/>
      <c r="U26" s="8">
        <f>(7117+2258+3119)/3</f>
        <v>4164.666666666667</v>
      </c>
      <c r="V26" s="17">
        <f>(6777+4383+8056)/3</f>
        <v>6405.333333333333</v>
      </c>
      <c r="W26" s="8"/>
      <c r="X26" s="19">
        <f>(9558+7512+5271)/3</f>
        <v>7447</v>
      </c>
      <c r="Y26" s="8">
        <f>(9338+7960+5485)/3</f>
        <v>7594.333333333333</v>
      </c>
      <c r="Z26" s="8">
        <v>2051.4666666666667</v>
      </c>
      <c r="AA26" s="49">
        <f>(7151+4440+2895)/3</f>
        <v>4828.666666666667</v>
      </c>
      <c r="AB26" s="8">
        <f>(7783+6225+4315)/3</f>
        <v>6107.666666666667</v>
      </c>
      <c r="AC26" s="17">
        <f>(6324+4594+7915)/3</f>
        <v>6277.666666666667</v>
      </c>
      <c r="AD26" s="30"/>
      <c r="AE26" s="19">
        <f>(9948+7818+5487)/3</f>
        <v>7751</v>
      </c>
      <c r="AF26" s="8">
        <f>(12904+9102+11256)/3</f>
        <v>11087.333333333334</v>
      </c>
      <c r="AG26" s="48">
        <v>3143.516129032258</v>
      </c>
      <c r="AH26" s="8">
        <f>(11287+8096+10976)/3</f>
        <v>10119.666666666666</v>
      </c>
      <c r="AI26" s="8">
        <f>(7891+5440+7122)/3</f>
        <v>6817.666666666667</v>
      </c>
      <c r="AJ26" s="17">
        <f>(6339+5945+8077)/3</f>
        <v>6787</v>
      </c>
      <c r="AK26" s="30"/>
      <c r="AL26" s="19">
        <f>(9753+7665+5379)/3</f>
        <v>7599</v>
      </c>
      <c r="AM26" s="8">
        <f>(13111+7305+5240)/3</f>
        <v>8552</v>
      </c>
      <c r="AN26" s="48">
        <v>5891.5333333333338</v>
      </c>
      <c r="AO26" s="8">
        <f>(5889+9028+10143)/3</f>
        <v>8353.3333333333339</v>
      </c>
      <c r="AP26" s="17">
        <f>(8169+5522+3979)/3</f>
        <v>5890</v>
      </c>
      <c r="AQ26" s="30"/>
      <c r="AR26" s="30"/>
      <c r="AS26" s="19">
        <f>(8613+6992+4947)/3</f>
        <v>6850.666666666667</v>
      </c>
      <c r="AT26" s="8">
        <f>(9263+7541+6253)/3</f>
        <v>7685.666666666667</v>
      </c>
      <c r="AU26" s="48">
        <f>(5295+4965+8017)/3</f>
        <v>6092.333333333333</v>
      </c>
      <c r="AV26" s="8">
        <f>(5896+4548+7771)/3</f>
        <v>6071.666666666667</v>
      </c>
      <c r="AW26" s="17">
        <f>(7128+6054+3990)/3</f>
        <v>5724</v>
      </c>
      <c r="AX26" s="30"/>
      <c r="AY26" s="32"/>
      <c r="AZ26" s="8">
        <f>(6776+4792+8378)/3</f>
        <v>6648.666666666667</v>
      </c>
      <c r="BA26" s="8">
        <f>(5968+5070+8456)/3</f>
        <v>6498</v>
      </c>
      <c r="BB26" s="48">
        <f>(4961+3873+6659)/3</f>
        <v>5164.333333333333</v>
      </c>
      <c r="BC26" s="8">
        <f>(8197+6872+9561)/3</f>
        <v>8210</v>
      </c>
      <c r="BD26" s="17">
        <f>(7360+4981+4006)/3</f>
        <v>5449</v>
      </c>
      <c r="BE26" s="30"/>
      <c r="BF26" s="32"/>
      <c r="BG26" s="15"/>
      <c r="BH26" s="8">
        <f>(7270+5391+8859)/3</f>
        <v>7173.333333333333</v>
      </c>
      <c r="BI26" s="48">
        <f>(6557+4854+8005)/3</f>
        <v>6472</v>
      </c>
      <c r="BJ26" s="30">
        <f>(9657+14590+8260)/3</f>
        <v>10835.666666666666</v>
      </c>
      <c r="BK26" s="17">
        <f>(5644+7234+9102)/3</f>
        <v>7326.666666666667</v>
      </c>
      <c r="BL26" s="30"/>
      <c r="BM26" s="32"/>
      <c r="BN26" s="8">
        <f>(8427+5013+8425)/3</f>
        <v>7288.333333333333</v>
      </c>
      <c r="BO26" s="8">
        <f>(36336+6130+29944)/3</f>
        <v>24136.666666666668</v>
      </c>
      <c r="BP26" s="48">
        <f>(6317+5562+9869)/3</f>
        <v>7249.333333333333</v>
      </c>
      <c r="BQ26" s="30">
        <f>(10806+7037+5951)/3</f>
        <v>7931.333333333333</v>
      </c>
      <c r="BR26" s="17">
        <f>(7092+4198+7838)/3</f>
        <v>6376</v>
      </c>
      <c r="BS26" s="30"/>
      <c r="BT26" s="32"/>
      <c r="BU26" s="8"/>
      <c r="BV26" s="8">
        <f>(19268+5981+12202)/3</f>
        <v>12483.666666666666</v>
      </c>
      <c r="BW26" s="48">
        <f>(7508+6418+8175)/3</f>
        <v>7367</v>
      </c>
      <c r="BX26" s="30">
        <f>(4836+3980+7916)/3</f>
        <v>5577.333333333333</v>
      </c>
      <c r="BY26" s="17">
        <v>5786</v>
      </c>
      <c r="BZ26" s="8"/>
      <c r="CA26" s="26"/>
      <c r="CB26" s="8">
        <f>(8218+5590+9443)/3</f>
        <v>7750.333333333333</v>
      </c>
      <c r="CC26" s="8">
        <f>(7272+5183+8930)/3</f>
        <v>7128.333333333333</v>
      </c>
      <c r="CD26" s="48">
        <f>(3965+3368+8870)/3</f>
        <v>5401</v>
      </c>
      <c r="CE26" s="8">
        <f>(6866+4517+7665)/3</f>
        <v>6349.333333333333</v>
      </c>
      <c r="CF26" s="17">
        <f>(4619+3705+5706)/3</f>
        <v>4676.666666666667</v>
      </c>
      <c r="CG26" s="8"/>
      <c r="CH26" s="26"/>
    </row>
    <row r="27" spans="1:86" x14ac:dyDescent="0.25">
      <c r="A27">
        <v>404</v>
      </c>
      <c r="B27" s="7" t="s">
        <v>29</v>
      </c>
      <c r="C27" s="19">
        <f>(7583+6636+4344)/3</f>
        <v>6187.666666666667</v>
      </c>
      <c r="D27" s="8">
        <f>(7368+6210+3782)/3</f>
        <v>5786.666666666667</v>
      </c>
      <c r="E27" s="50">
        <f>(6670+5945+3836)/3</f>
        <v>5483.666666666667</v>
      </c>
      <c r="F27" s="8">
        <f>(6024+3171+3676)/3</f>
        <v>4290.333333333333</v>
      </c>
      <c r="G27" s="8">
        <f>(5443+4425+3032)/3</f>
        <v>4300</v>
      </c>
      <c r="H27" s="17">
        <f>(4451+2940+5152)/3</f>
        <v>4181</v>
      </c>
      <c r="I27" s="32"/>
      <c r="J27" s="8">
        <f>(7665+6316+4426)/3</f>
        <v>6135.666666666667</v>
      </c>
      <c r="K27" s="8">
        <f>(7460+6306+4525)/3</f>
        <v>6097</v>
      </c>
      <c r="L27" s="50">
        <f>(7520+6233+4177)/3</f>
        <v>5976.666666666667</v>
      </c>
      <c r="M27" s="8">
        <f>(6746+7065+3119)/3</f>
        <v>5643.333333333333</v>
      </c>
      <c r="N27" s="8">
        <f>(5102+3696+6156)/3</f>
        <v>4984.666666666667</v>
      </c>
      <c r="O27" s="17">
        <f>(4088+3155+5510)/3</f>
        <v>4251</v>
      </c>
      <c r="P27" s="30"/>
      <c r="Q27" s="19">
        <f>(12655+12634+13091)/3</f>
        <v>12793.333333333334</v>
      </c>
      <c r="R27" s="8">
        <f>(7770+6586+4553)/3</f>
        <v>6303</v>
      </c>
      <c r="S27" s="48">
        <f>(115662/31)</f>
        <v>3731.0322580645161</v>
      </c>
      <c r="T27" s="8"/>
      <c r="U27" s="8">
        <f>(6015+1974+2564)/3</f>
        <v>3517.6666666666665</v>
      </c>
      <c r="V27" s="17">
        <f>(5304+3386+6279)/3</f>
        <v>4989.666666666667</v>
      </c>
      <c r="W27" s="8"/>
      <c r="X27" s="19">
        <f>(8420+6623+4515)/3</f>
        <v>6519.333333333333</v>
      </c>
      <c r="Y27" s="8">
        <f>(7921+6784+4758)/3</f>
        <v>6487.666666666667</v>
      </c>
      <c r="Z27" s="8">
        <v>1625.9666666666667</v>
      </c>
      <c r="AA27" s="49">
        <f>(6082+3924+2524)/3</f>
        <v>4176.666666666667</v>
      </c>
      <c r="AB27" s="8">
        <f>(6436+5176+3756)/3</f>
        <v>5122.666666666667</v>
      </c>
      <c r="AC27" s="17">
        <f>(5030+3639+6690)/3</f>
        <v>5119.666666666667</v>
      </c>
      <c r="AD27" s="30"/>
      <c r="AE27" s="19">
        <f>(8764+6893+4699)/3</f>
        <v>6785.333333333333</v>
      </c>
      <c r="AF27" s="8">
        <f>(11870+7887+10690)/3</f>
        <v>10149</v>
      </c>
      <c r="AG27" s="48">
        <v>2963.3870967741937</v>
      </c>
      <c r="AH27" s="8">
        <f>(10387+7233+10113)/3</f>
        <v>9244.3333333333339</v>
      </c>
      <c r="AI27" s="8">
        <f>(6768+5995+4312)/3</f>
        <v>5691.666666666667</v>
      </c>
      <c r="AJ27" s="17">
        <f>(5487+5148+6951)/3</f>
        <v>5862</v>
      </c>
      <c r="AK27" s="30"/>
      <c r="AL27" s="19">
        <f>(8592+6758+4607)/3</f>
        <v>6652.333333333333</v>
      </c>
      <c r="AM27" s="8">
        <f>(11799+6472+4653)/3</f>
        <v>7641.333333333333</v>
      </c>
      <c r="AN27" s="48">
        <v>5580.833333333333</v>
      </c>
      <c r="AO27" s="8">
        <f>(5347+8574+9302)/3</f>
        <v>7741</v>
      </c>
      <c r="AP27" s="17">
        <f>(7144+4533+3176)/3</f>
        <v>4951</v>
      </c>
      <c r="AQ27" s="30"/>
      <c r="AR27" s="30"/>
      <c r="AS27" s="19">
        <f>(7569+5945+4176)/3</f>
        <v>5896.666666666667</v>
      </c>
      <c r="AT27" s="8">
        <f>(8108+6364+5385)/3</f>
        <v>6619</v>
      </c>
      <c r="AU27" s="48">
        <f>(5143+4705+7714)/3</f>
        <v>5854</v>
      </c>
      <c r="AV27" s="8">
        <f>(4985+3823+6898)/3</f>
        <v>5235.333333333333</v>
      </c>
      <c r="AW27" s="17">
        <f>(5993+5032+3396)/3</f>
        <v>4807</v>
      </c>
      <c r="AX27" s="30"/>
      <c r="AY27" s="32"/>
      <c r="AZ27" s="8">
        <f>(5731+4021+7030)/3</f>
        <v>5594</v>
      </c>
      <c r="BA27" s="8">
        <f>(5164+4438+7249)/3</f>
        <v>5617</v>
      </c>
      <c r="BB27" s="48">
        <f>(8002+5996+6901)/3</f>
        <v>6966.333333333333</v>
      </c>
      <c r="BC27" s="8">
        <f>(7513+6059+8941)/3</f>
        <v>7504.333333333333</v>
      </c>
      <c r="BD27" s="17">
        <f>(6315+4190+3167)/3</f>
        <v>4557.333333333333</v>
      </c>
      <c r="BE27" s="30"/>
      <c r="BF27" s="32"/>
      <c r="BG27" s="8"/>
      <c r="BH27" s="8">
        <f>(5966+4473+7526)/3</f>
        <v>5988.333333333333</v>
      </c>
      <c r="BI27" s="48">
        <f>(5587+4031+9319)/3</f>
        <v>6312.333333333333</v>
      </c>
      <c r="BJ27" s="30">
        <f>(8142+13500+7214)/3</f>
        <v>9618.6666666666661</v>
      </c>
      <c r="BK27" s="17">
        <f>(5010+6440+8188)/3</f>
        <v>6546</v>
      </c>
      <c r="BL27" s="30"/>
      <c r="BM27" s="32"/>
      <c r="BN27" s="8">
        <f>(6709+4108+7002)/3</f>
        <v>5939.666666666667</v>
      </c>
      <c r="BO27" s="8">
        <f>(29872+5026+27070)/3</f>
        <v>20656</v>
      </c>
      <c r="BP27" s="48">
        <f>(5031+4199+8265)/3</f>
        <v>5831.666666666667</v>
      </c>
      <c r="BQ27" s="30">
        <f>(8921+5842+4621)/3</f>
        <v>6461.333333333333</v>
      </c>
      <c r="BR27" s="17">
        <f>(5794+3175+6143)/3</f>
        <v>5037.333333333333</v>
      </c>
      <c r="BS27" s="30"/>
      <c r="BT27" s="32"/>
      <c r="BU27" s="8"/>
      <c r="BV27" s="8">
        <f>(6594+4897+7924)/3</f>
        <v>6471.666666666667</v>
      </c>
      <c r="BW27" s="48">
        <f>(6473+5435+6865)/3</f>
        <v>6257.666666666667</v>
      </c>
      <c r="BX27" s="30">
        <f>(3947+3460+6121)/3</f>
        <v>4509.333333333333</v>
      </c>
      <c r="BY27" s="17">
        <v>4518</v>
      </c>
      <c r="BZ27" s="8"/>
      <c r="CA27" s="26"/>
      <c r="CB27" s="8">
        <f>(6678+4535+7529)/3</f>
        <v>6247.333333333333</v>
      </c>
      <c r="CC27" s="8">
        <f>(5834+4198+6958)/3</f>
        <v>5663.333333333333</v>
      </c>
      <c r="CD27" s="48">
        <f>(3351+2858+7554)/3</f>
        <v>4587.666666666667</v>
      </c>
      <c r="CE27" s="8">
        <f>(5115+3603+5915)/3</f>
        <v>4877.666666666667</v>
      </c>
      <c r="CF27" s="17">
        <f>(3225+2704+4092)/3</f>
        <v>3340.3333333333335</v>
      </c>
      <c r="CG27" s="8"/>
      <c r="CH27" s="26"/>
    </row>
    <row r="28" spans="1:86" x14ac:dyDescent="0.25">
      <c r="A28">
        <v>207</v>
      </c>
      <c r="B28" s="7" t="s">
        <v>30</v>
      </c>
      <c r="C28" s="19">
        <f>(4844+4210+2437)/3</f>
        <v>3830.3333333333335</v>
      </c>
      <c r="D28" s="8">
        <f>(5168+4139+2253)/3</f>
        <v>3853.3333333333335</v>
      </c>
      <c r="E28" s="50">
        <f>(4941+4109+2255)/3</f>
        <v>3768.3333333333335</v>
      </c>
      <c r="F28" s="8">
        <f>(4671+1879+2785)/3</f>
        <v>3111.6666666666665</v>
      </c>
      <c r="G28" s="8">
        <f>(4719+3766+2127)/3</f>
        <v>3537.3333333333335</v>
      </c>
      <c r="H28" s="17">
        <f>(4109+2988+4974)/3</f>
        <v>4023.6666666666665</v>
      </c>
      <c r="I28" s="32"/>
      <c r="J28" s="8">
        <f>(6200+7774+4005)/3</f>
        <v>5993</v>
      </c>
      <c r="K28" s="8">
        <f>(5437+4322+3180)/3</f>
        <v>4313</v>
      </c>
      <c r="L28" s="50">
        <f>(5455+4127+2540)/3</f>
        <v>4040.6666666666665</v>
      </c>
      <c r="M28" s="8">
        <f>(4959+2819+2123)/3</f>
        <v>3300.3333333333335</v>
      </c>
      <c r="N28" s="8">
        <f>(4168+2391+5924)/3</f>
        <v>4161</v>
      </c>
      <c r="O28" s="17">
        <f>(3648+2043+5252)/3</f>
        <v>3647.6666666666665</v>
      </c>
      <c r="P28" s="30"/>
      <c r="Q28" s="19">
        <f>(6108+1951+1039)/3</f>
        <v>3032.6666666666665</v>
      </c>
      <c r="R28" s="8">
        <f>(5507+3907+2157)/3</f>
        <v>3857</v>
      </c>
      <c r="S28" s="48">
        <f>(3396+2103+1484)/3</f>
        <v>2327.6666666666665</v>
      </c>
      <c r="T28" s="8"/>
      <c r="U28" s="8">
        <f>(5517+2095+3546)/3</f>
        <v>3719.3333333333335</v>
      </c>
      <c r="V28" s="17">
        <f>(3806+2061+5091)/3</f>
        <v>3652.6666666666665</v>
      </c>
      <c r="W28" s="8"/>
      <c r="X28" s="19">
        <f>(5436+4923+1436)/3</f>
        <v>3931.6666666666665</v>
      </c>
      <c r="Y28" s="8">
        <f>(5327+4742+2687)/3</f>
        <v>4252</v>
      </c>
      <c r="Z28" s="8">
        <v>1121.3333333333333</v>
      </c>
      <c r="AA28" s="49">
        <f>(4642+2817+2335)/3</f>
        <v>3264.6666666666665</v>
      </c>
      <c r="AB28" s="8">
        <f>(5700+4068+3554)/3</f>
        <v>4440.666666666667</v>
      </c>
      <c r="AC28" s="17">
        <f>(4918+2424+5064)/3</f>
        <v>4135.333333333333</v>
      </c>
      <c r="AD28" s="30"/>
      <c r="AE28" s="19">
        <f>(5484+4625+2331)/3</f>
        <v>4146.666666666667</v>
      </c>
      <c r="AF28" s="8">
        <f>(6128+4900+3884)/3</f>
        <v>4970.666666666667</v>
      </c>
      <c r="AG28" s="48">
        <v>2117.6666666666665</v>
      </c>
      <c r="AH28" s="8">
        <f>(4735+3634+6575)/3</f>
        <v>4981.333333333333</v>
      </c>
      <c r="AI28" s="8">
        <f>(5338+4442+2516)/3</f>
        <v>4098.666666666667</v>
      </c>
      <c r="AJ28" s="17">
        <f>(4464+3326+5711)/3</f>
        <v>4500.333333333333</v>
      </c>
      <c r="AK28" s="30"/>
      <c r="AL28" s="19">
        <f>(5538+4076+2373)/3</f>
        <v>3995.6666666666665</v>
      </c>
      <c r="AM28" s="8">
        <f>(6548+4904+3630)/3</f>
        <v>5027.333333333333</v>
      </c>
      <c r="AN28" s="48">
        <v>3574.3333333333335</v>
      </c>
      <c r="AO28" s="8">
        <f>(4669+4959+6335)/3</f>
        <v>5321</v>
      </c>
      <c r="AP28" s="17">
        <f>(6398+4864+2787)/3</f>
        <v>4683</v>
      </c>
      <c r="AQ28" s="30"/>
      <c r="AR28" s="30"/>
      <c r="AS28" s="19">
        <f>(5229+5025+3460)/3</f>
        <v>4571.333333333333</v>
      </c>
      <c r="AT28" s="8">
        <f>(3797+2760+5399)/3</f>
        <v>3985.3333333333335</v>
      </c>
      <c r="AU28" s="48">
        <f>(4251+2447+5199)/3</f>
        <v>3965.6666666666665</v>
      </c>
      <c r="AV28" s="8">
        <f>(3615+2051+5186)/3</f>
        <v>3617.3333333333335</v>
      </c>
      <c r="AW28" s="17">
        <f>(6340+3767+3678)/3</f>
        <v>4595</v>
      </c>
      <c r="AX28" s="30"/>
      <c r="AY28" s="32"/>
      <c r="AZ28" s="8">
        <f>(3866+3947+5500)/3</f>
        <v>4437.666666666667</v>
      </c>
      <c r="BA28" s="8">
        <f>(3526+2142+4529)/3</f>
        <v>3399</v>
      </c>
      <c r="BB28" s="48">
        <f>(3325+2303+4588)/3</f>
        <v>3405.3333333333335</v>
      </c>
      <c r="BC28" s="8">
        <f>(4312+2027+3112)/3</f>
        <v>3150.3333333333335</v>
      </c>
      <c r="BD28" s="17">
        <f>(5594+5315+2660)/3</f>
        <v>4523</v>
      </c>
      <c r="BE28" s="30"/>
      <c r="BF28" s="32"/>
      <c r="BG28" s="8"/>
      <c r="BH28" s="8">
        <f>(4254+2597+5596)/3</f>
        <v>4149</v>
      </c>
      <c r="BI28" s="48">
        <f>(4199+2018+5040)/3</f>
        <v>3752.3333333333335</v>
      </c>
      <c r="BJ28" s="30">
        <f>(5152+4038+2654)/3</f>
        <v>3948</v>
      </c>
      <c r="BK28" s="17">
        <f>(4842+3008+5527)/3</f>
        <v>4459</v>
      </c>
      <c r="BL28" s="30"/>
      <c r="BM28" s="32"/>
      <c r="BN28" s="8">
        <f>(5443+3444+5903)/3</f>
        <v>4930</v>
      </c>
      <c r="BO28" s="8">
        <f>(4012+2918+5126)/3</f>
        <v>4018.6666666666665</v>
      </c>
      <c r="BP28" s="48">
        <f>(3545+3580+5363)/3</f>
        <v>4162.666666666667</v>
      </c>
      <c r="BQ28" s="30">
        <f>(5563+4203+2502)/3</f>
        <v>4089.3333333333335</v>
      </c>
      <c r="BR28" s="17">
        <f>(3875+3212+5528)/3</f>
        <v>4205</v>
      </c>
      <c r="BS28" s="30"/>
      <c r="BT28" s="32"/>
      <c r="BU28" s="8">
        <f>(4720+3464+5356)/3</f>
        <v>4513.333333333333</v>
      </c>
      <c r="BV28" s="8">
        <f>(4219+3311+5370)/3</f>
        <v>4300</v>
      </c>
      <c r="BW28" s="48">
        <f>(2832+1280+5110)/3</f>
        <v>3074</v>
      </c>
      <c r="BX28" s="30">
        <f>(4944+2849+5561)/3</f>
        <v>4451.333333333333</v>
      </c>
      <c r="BY28" s="17">
        <v>4171</v>
      </c>
      <c r="BZ28" s="8"/>
      <c r="CA28" s="26"/>
      <c r="CB28" s="8">
        <f>(3971+2575+5371)/3</f>
        <v>3972.3333333333335</v>
      </c>
      <c r="CC28" s="8">
        <f>(4299+2540+5219)/3</f>
        <v>4019.3333333333335</v>
      </c>
      <c r="CD28" s="48">
        <f>(2421+2105+4856)/3</f>
        <v>3127.3333333333335</v>
      </c>
      <c r="CE28" s="8">
        <f>(3832+2726+5222)/3</f>
        <v>3926.6666666666665</v>
      </c>
      <c r="CF28" s="17">
        <f>(3827+3974+5078)/3</f>
        <v>4293</v>
      </c>
      <c r="CG28" s="8"/>
      <c r="CH28" s="26"/>
    </row>
    <row r="29" spans="1:86" x14ac:dyDescent="0.25">
      <c r="A29">
        <v>207</v>
      </c>
      <c r="B29" s="7" t="s">
        <v>31</v>
      </c>
      <c r="C29" s="19">
        <f>(6272+5602+3592)/3</f>
        <v>5155.333333333333</v>
      </c>
      <c r="D29" s="8">
        <f>(6788+5814+3646)/3</f>
        <v>5416</v>
      </c>
      <c r="E29" s="50">
        <f>(6457+5341+3373)/3</f>
        <v>5057</v>
      </c>
      <c r="F29" s="8">
        <f>(6297+2771+3745)/3</f>
        <v>4271</v>
      </c>
      <c r="G29" s="8">
        <f>(6315+5044+3320)/3</f>
        <v>4893</v>
      </c>
      <c r="H29" s="17">
        <f>(5790+4818+6814)/3</f>
        <v>5807.333333333333</v>
      </c>
      <c r="I29" s="32"/>
      <c r="J29" s="8">
        <f>(9905+12871+6346)/3</f>
        <v>9707.3333333333339</v>
      </c>
      <c r="K29" s="8">
        <f>(7135+5910+5015)/3</f>
        <v>6020</v>
      </c>
      <c r="L29" s="50">
        <f>(7183+5585+3736)/3</f>
        <v>5501.333333333333</v>
      </c>
      <c r="M29" s="8">
        <f>(6983+3806+3304)/3</f>
        <v>4697.666666666667</v>
      </c>
      <c r="N29" s="8">
        <f>(6396+3827+8648)/3</f>
        <v>6290.333333333333</v>
      </c>
      <c r="O29" s="17">
        <f>(4962+3421+7366)/3</f>
        <v>5249.666666666667</v>
      </c>
      <c r="P29" s="30"/>
      <c r="Q29" s="19">
        <f>(9498+2947+1521)/3</f>
        <v>4655.333333333333</v>
      </c>
      <c r="R29" s="8">
        <f>(7430+4955+3533)/3</f>
        <v>5306</v>
      </c>
      <c r="S29" s="48">
        <f>(4724+2642+2254)/3</f>
        <v>3206.6666666666665</v>
      </c>
      <c r="T29" s="8"/>
      <c r="U29" s="8">
        <f>(8095+3421+5536)/3</f>
        <v>5684</v>
      </c>
      <c r="V29" s="17">
        <f>(5479+3696+7022)/3</f>
        <v>5399</v>
      </c>
      <c r="W29" s="8"/>
      <c r="X29" s="19">
        <f>(7555+7011+2278)/3</f>
        <v>5614.666666666667</v>
      </c>
      <c r="Y29" s="8">
        <f>(7807+6821+4636)/3</f>
        <v>6421.333333333333</v>
      </c>
      <c r="Z29" s="8">
        <v>1728.3333333333333</v>
      </c>
      <c r="AA29" s="49">
        <f>(6585+3908+3640)/3</f>
        <v>4711</v>
      </c>
      <c r="AB29" s="8">
        <f>(8149+5803+6481)/3</f>
        <v>6811</v>
      </c>
      <c r="AC29" s="17">
        <f>(7564+4025+7056)/3</f>
        <v>6215</v>
      </c>
      <c r="AD29" s="30"/>
      <c r="AE29" s="19">
        <f>(7647+6933+3479)/3</f>
        <v>6019.666666666667</v>
      </c>
      <c r="AF29" s="8">
        <f>(9235+7632+7383)/3</f>
        <v>8083.333333333333</v>
      </c>
      <c r="AG29" s="48">
        <v>3146.6666666666665</v>
      </c>
      <c r="AH29" s="8">
        <f>(7625+5863+9893)/3</f>
        <v>7793.666666666667</v>
      </c>
      <c r="AI29" s="8">
        <f>(7757+6977+4190)/3</f>
        <v>6308</v>
      </c>
      <c r="AJ29" s="17">
        <f>(6313+6331+8648)/3</f>
        <v>7097.333333333333</v>
      </c>
      <c r="AK29" s="30"/>
      <c r="AL29" s="19">
        <f>(7554+5712+3678)/3</f>
        <v>5648</v>
      </c>
      <c r="AM29" s="8">
        <f>(10045+7637+6232)/3</f>
        <v>7971.333333333333</v>
      </c>
      <c r="AN29" s="48">
        <v>5310.666666666667</v>
      </c>
      <c r="AO29" s="8">
        <f>(6690+9537+9586)/3</f>
        <v>8604.3333333333339</v>
      </c>
      <c r="AP29" s="17">
        <f>(8319+7024+4555)/3</f>
        <v>6632.666666666667</v>
      </c>
      <c r="AQ29" s="30"/>
      <c r="AR29" s="30"/>
      <c r="AS29" s="19">
        <f>(7523+7267+5945)/3</f>
        <v>6911.666666666667</v>
      </c>
      <c r="AT29" s="8">
        <f>(5367+4580+7672)/3</f>
        <v>5873</v>
      </c>
      <c r="AU29" s="48">
        <f>(6110+4305+7580)/3</f>
        <v>5998.333333333333</v>
      </c>
      <c r="AV29" s="8">
        <f>(5389+3463+7580)/3</f>
        <v>5477.333333333333</v>
      </c>
      <c r="AW29" s="17">
        <f>(9751+5920+6575)/3</f>
        <v>7415.333333333333</v>
      </c>
      <c r="AX29" s="30"/>
      <c r="AY29" s="32"/>
      <c r="AZ29" s="8">
        <f>(5634+6910+8058)/3</f>
        <v>6867.333333333333</v>
      </c>
      <c r="BA29" s="8">
        <f>(5566+3572+6366)/3</f>
        <v>5168</v>
      </c>
      <c r="BB29" s="48">
        <f>(5090+4285+7623)/3</f>
        <v>5666</v>
      </c>
      <c r="BC29" s="8">
        <f>(6300+3239+4266)/3</f>
        <v>4601.666666666667</v>
      </c>
      <c r="BD29" s="17">
        <f>(8536+8159+4446)/3</f>
        <v>7047</v>
      </c>
      <c r="BE29" s="30"/>
      <c r="BF29" s="32"/>
      <c r="BG29" s="8"/>
      <c r="BH29" s="8">
        <f>(5618+3873+7026)/3</f>
        <v>5505.666666666667</v>
      </c>
      <c r="BI29" s="48">
        <f>(6191+3837+8380)/3</f>
        <v>6136</v>
      </c>
      <c r="BJ29" s="30">
        <f>(7190+4310+6190)/3</f>
        <v>5896.666666666667</v>
      </c>
      <c r="BK29" s="17">
        <f>(6981+5192+7498)/3</f>
        <v>6557</v>
      </c>
      <c r="BL29" s="30"/>
      <c r="BM29" s="32"/>
      <c r="BN29" s="8">
        <f>(7655+5334+7957)/3</f>
        <v>6982</v>
      </c>
      <c r="BO29" s="8">
        <f>(4640+3693+5715)/3</f>
        <v>4682.666666666667</v>
      </c>
      <c r="BP29" s="48">
        <f>(5577+6648+9202)/3</f>
        <v>7142.333333333333</v>
      </c>
      <c r="BQ29" s="30">
        <f>(8018+5970+4199)/3</f>
        <v>6062.333333333333</v>
      </c>
      <c r="BR29" s="17">
        <f>(5496+5349+7489)/3</f>
        <v>6111.333333333333</v>
      </c>
      <c r="BS29" s="30"/>
      <c r="BT29" s="32"/>
      <c r="BU29" s="8">
        <f>(6423+4945+7078)/3</f>
        <v>6148.666666666667</v>
      </c>
      <c r="BV29" s="8">
        <f>(5249+4672+6982)/3</f>
        <v>5634.333333333333</v>
      </c>
      <c r="BW29" s="48">
        <f>(4473+2363+8609)/3</f>
        <v>5148.333333333333</v>
      </c>
      <c r="BX29" s="30">
        <f>(7212+4684+7684)/3</f>
        <v>6526.666666666667</v>
      </c>
      <c r="BY29" s="17">
        <v>5872</v>
      </c>
      <c r="BZ29" s="8"/>
      <c r="CA29" s="26"/>
      <c r="CB29" s="8">
        <f>(5970+3748+7137)/3</f>
        <v>5618.333333333333</v>
      </c>
      <c r="CC29" s="8">
        <f>(6092+3624+6652)/3</f>
        <v>5456</v>
      </c>
      <c r="CD29" s="48">
        <f>(3040+3525+6824)/3</f>
        <v>4463</v>
      </c>
      <c r="CE29" s="8">
        <f>(5030+4102+6928)/3</f>
        <v>5353.333333333333</v>
      </c>
      <c r="CF29" s="17">
        <f>(5228+6933+6959)/3</f>
        <v>6373.333333333333</v>
      </c>
      <c r="CG29" s="8"/>
      <c r="CH29" s="26"/>
    </row>
    <row r="30" spans="1:86" x14ac:dyDescent="0.25">
      <c r="A30">
        <v>301</v>
      </c>
      <c r="B30" s="7" t="s">
        <v>32</v>
      </c>
      <c r="C30" s="19">
        <f>(2940+3508+2279)/3</f>
        <v>2909</v>
      </c>
      <c r="D30" s="8">
        <f>(3016+2189+2509)/3</f>
        <v>2571.3333333333335</v>
      </c>
      <c r="E30" s="50">
        <f>(6427+2753+1786)/3</f>
        <v>3655.3333333333335</v>
      </c>
      <c r="F30" s="8">
        <f>(2415+1392+3472)/3</f>
        <v>2426.3333333333335</v>
      </c>
      <c r="G30" s="8">
        <f>(3150+1777+1493)/3</f>
        <v>2140</v>
      </c>
      <c r="H30" s="17">
        <f>(1895+2459+2949)/3</f>
        <v>2434.3333333333335</v>
      </c>
      <c r="I30" s="32"/>
      <c r="J30" s="8">
        <f>(4592+4111+3814)/3</f>
        <v>4172.333333333333</v>
      </c>
      <c r="K30" s="8">
        <f>(2736+2010+1050)/3</f>
        <v>1932</v>
      </c>
      <c r="L30" s="50">
        <f>(3432+2124+1290)/3</f>
        <v>2282</v>
      </c>
      <c r="M30" s="8">
        <f>(3830+2945+2818)/3</f>
        <v>3197.6666666666665</v>
      </c>
      <c r="N30" s="8">
        <f>(2012+1292+2680)/3</f>
        <v>1994.6666666666667</v>
      </c>
      <c r="O30" s="17">
        <f>(3208+1180+2725)/3</f>
        <v>2371</v>
      </c>
      <c r="P30" s="30"/>
      <c r="Q30" s="19">
        <f>(5579+3261+4216)/3</f>
        <v>4352</v>
      </c>
      <c r="R30" s="8">
        <f>(3301+2068+1487)/3</f>
        <v>2285.3333333333335</v>
      </c>
      <c r="S30" s="48">
        <f>(2640+1169+806)/3</f>
        <v>1538.3333333333333</v>
      </c>
      <c r="T30" s="8"/>
      <c r="U30" s="8">
        <f>(2920+1244+2361)/3</f>
        <v>2175</v>
      </c>
      <c r="V30" s="17">
        <f>(1963+1564+2689)/3</f>
        <v>2072</v>
      </c>
      <c r="W30" s="8"/>
      <c r="X30" s="19">
        <f>(7550+4076+1875)/3</f>
        <v>4500.333333333333</v>
      </c>
      <c r="Y30" s="8">
        <f>(3969+4597+1473)/3</f>
        <v>3346.3333333333335</v>
      </c>
      <c r="Z30" s="8">
        <v>2560</v>
      </c>
      <c r="AA30" s="49">
        <f>(3614+2520+2805)/3</f>
        <v>2979.6666666666665</v>
      </c>
      <c r="AB30" s="8">
        <f>(3318+2365+1336)/3</f>
        <v>2339.6666666666665</v>
      </c>
      <c r="AC30" s="17">
        <f>(2801+1832+2469)/3</f>
        <v>2367.3333333333335</v>
      </c>
      <c r="AD30" s="30"/>
      <c r="AE30" s="19">
        <f>(7524+3538+3953)/3</f>
        <v>5005</v>
      </c>
      <c r="AF30" s="8">
        <f>(5258+5158+3397)/3</f>
        <v>4604.333333333333</v>
      </c>
      <c r="AG30" s="48">
        <v>2582.6666666666665</v>
      </c>
      <c r="AH30" s="8">
        <f>(2516+1360+2938)/3</f>
        <v>2271.3333333333335</v>
      </c>
      <c r="AI30" s="8">
        <f>(6137+6662+3453)/3</f>
        <v>5417.333333333333</v>
      </c>
      <c r="AJ30" s="17">
        <f>(2396+1295+3964)/3</f>
        <v>2551.6666666666665</v>
      </c>
      <c r="AK30" s="30"/>
      <c r="AL30" s="19">
        <f>(3735+6348+5199)/3</f>
        <v>5094</v>
      </c>
      <c r="AM30" s="8">
        <f>(4444+5808+2710)/3</f>
        <v>4320.666666666667</v>
      </c>
      <c r="AN30" s="48">
        <v>3457.6666666666665</v>
      </c>
      <c r="AO30" s="8">
        <f>(2078+1297+3001)/3</f>
        <v>2125.3333333333335</v>
      </c>
      <c r="AP30" s="17">
        <f>(2960+2468+1405)/3</f>
        <v>2277.6666666666665</v>
      </c>
      <c r="AQ30" s="30"/>
      <c r="AR30" s="30"/>
      <c r="AS30" s="19">
        <f>(4057+2495+1711)/3</f>
        <v>2754.3333333333335</v>
      </c>
      <c r="AT30" s="8">
        <f>(5700+2940+8546)/3</f>
        <v>5728.666666666667</v>
      </c>
      <c r="AU30" s="48">
        <f>(3395+3559+4791)/3</f>
        <v>3915</v>
      </c>
      <c r="AV30" s="8">
        <f>(2786+1410+3008)/3</f>
        <v>2401.3333333333335</v>
      </c>
      <c r="AW30" s="17">
        <f>(3337+2342+1313)/3</f>
        <v>2330.6666666666665</v>
      </c>
      <c r="AX30" s="30"/>
      <c r="AY30" s="32"/>
      <c r="AZ30" s="8">
        <f>(2232+2980+2976)/3</f>
        <v>2729.3333333333335</v>
      </c>
      <c r="BA30" s="8">
        <f>(7290+6548+5458)/3</f>
        <v>6432</v>
      </c>
      <c r="BB30" s="48">
        <f>(4091+3087+4784)/3</f>
        <v>3987.3333333333335</v>
      </c>
      <c r="BC30" s="8">
        <f>(2355+1232+1531)/3</f>
        <v>1706</v>
      </c>
      <c r="BD30" s="17">
        <f>(2351+1698+1091)/3</f>
        <v>1713.3333333333333</v>
      </c>
      <c r="BE30" s="30"/>
      <c r="BF30" s="32"/>
      <c r="BG30" s="8"/>
      <c r="BH30" s="8">
        <f>(3714+5522+7648)/3</f>
        <v>5628</v>
      </c>
      <c r="BI30" s="48">
        <f>(4022+3432+4469)/3</f>
        <v>3974.3333333333335</v>
      </c>
      <c r="BJ30" s="30">
        <f>(2880+1942+1695)/3</f>
        <v>2172.3333333333335</v>
      </c>
      <c r="BK30" s="17">
        <f>(2488+2052+2960)/3</f>
        <v>2500</v>
      </c>
      <c r="BL30" s="30"/>
      <c r="BM30" s="32"/>
      <c r="BN30" s="8">
        <f>(2724+1845+4640)/3</f>
        <v>3069.6666666666665</v>
      </c>
      <c r="BO30" s="8">
        <f>(4461+3162+6136)/3</f>
        <v>4586.333333333333</v>
      </c>
      <c r="BP30" s="48">
        <f>(3550+2521+3065)/3</f>
        <v>3045.3333333333335</v>
      </c>
      <c r="BQ30" s="30">
        <f>(3009+3896+1406)/3</f>
        <v>2770.3333333333335</v>
      </c>
      <c r="BR30" s="17">
        <f>(5244+1328+3165)/3</f>
        <v>3245.6666666666665</v>
      </c>
      <c r="BS30" s="30"/>
      <c r="BT30" s="32"/>
      <c r="BU30" s="8">
        <f>(5656+4909+5457)/3</f>
        <v>5340.666666666667</v>
      </c>
      <c r="BV30" s="8">
        <f>(7759+2901+5469)/3</f>
        <v>5376.333333333333</v>
      </c>
      <c r="BW30" s="48">
        <f>(2767+1159+2690)/3</f>
        <v>2205.3333333333335</v>
      </c>
      <c r="BX30" s="30">
        <f>(1771+1287+3003)/3</f>
        <v>2020.3333333333333</v>
      </c>
      <c r="BY30" s="17">
        <v>2666</v>
      </c>
      <c r="BZ30" s="8"/>
      <c r="CA30" s="26"/>
      <c r="CB30" s="8">
        <f>(2234+1234+3674)/3</f>
        <v>2380.6666666666665</v>
      </c>
      <c r="CC30" s="8">
        <f>(4338+2051+7204)/3</f>
        <v>4531</v>
      </c>
      <c r="CD30" s="48">
        <f>(1900+907+2948)/3</f>
        <v>1918.3333333333333</v>
      </c>
      <c r="CE30" s="8">
        <f>(2224+5375+4207)/3</f>
        <v>3935.3333333333335</v>
      </c>
      <c r="CF30" s="17">
        <f>(1958+1611+3348)/3</f>
        <v>2305.6666666666665</v>
      </c>
      <c r="CG30" s="8"/>
      <c r="CH30" s="26"/>
    </row>
    <row r="31" spans="1:86" x14ac:dyDescent="0.25">
      <c r="A31">
        <v>301</v>
      </c>
      <c r="B31" s="7" t="s">
        <v>33</v>
      </c>
      <c r="C31" s="19">
        <f>(2015+1538+1208)/3</f>
        <v>1587</v>
      </c>
      <c r="D31" s="8">
        <f>(1963+2970+1416)/3</f>
        <v>2116.3333333333335</v>
      </c>
      <c r="E31" s="50">
        <f>(2614+2710+2337)/3</f>
        <v>2553.6666666666665</v>
      </c>
      <c r="F31" s="8">
        <f>(1577+746+962)/3</f>
        <v>1095</v>
      </c>
      <c r="G31" s="8">
        <f>(1658+1486+892)/3</f>
        <v>1345.3333333333333</v>
      </c>
      <c r="H31" s="17">
        <f>(1669+1111+2039)/3</f>
        <v>1606.3333333333333</v>
      </c>
      <c r="I31" s="32"/>
      <c r="J31" s="8">
        <f>(1993+1437+650)/3</f>
        <v>1360</v>
      </c>
      <c r="K31" s="8">
        <f>(2023+2076+1585)/3</f>
        <v>1894.6666666666667</v>
      </c>
      <c r="L31" s="50">
        <f>(2244+1876+1379)/3</f>
        <v>1833</v>
      </c>
      <c r="M31" s="8">
        <f>(1719+1077+1111)/3</f>
        <v>1302.3333333333333</v>
      </c>
      <c r="N31" s="8">
        <f>(1477+1469+1943)/3</f>
        <v>1629.6666666666667</v>
      </c>
      <c r="O31" s="17">
        <f>(1454+1151+1792)/3</f>
        <v>1465.6666666666667</v>
      </c>
      <c r="P31" s="30"/>
      <c r="Q31" s="19">
        <f>(2490+1445+1201)/3</f>
        <v>1712</v>
      </c>
      <c r="R31" s="8">
        <f>(2013+1568+991)/3</f>
        <v>1524</v>
      </c>
      <c r="S31" s="48">
        <f>(1325+915+820)/3</f>
        <v>1020</v>
      </c>
      <c r="T31" s="8"/>
      <c r="U31" s="8">
        <f>(1798+815+1282)/3</f>
        <v>1298.3333333333333</v>
      </c>
      <c r="V31" s="17">
        <f>(1474+947+1960)/3</f>
        <v>1460.3333333333333</v>
      </c>
      <c r="W31" s="8"/>
      <c r="X31" s="19">
        <f>(3722+3274+2145)/3</f>
        <v>3047</v>
      </c>
      <c r="Y31" s="8">
        <f>(1953+1420+1311)/3</f>
        <v>1561.3333333333333</v>
      </c>
      <c r="Z31" s="8">
        <v>460</v>
      </c>
      <c r="AA31" s="49">
        <f>(1595+851+893)/3</f>
        <v>1113</v>
      </c>
      <c r="AB31" s="8">
        <f>(1837+1366+957)/3</f>
        <v>1386.6666666666667</v>
      </c>
      <c r="AC31" s="17">
        <f>(1459+906+1918)/3</f>
        <v>1427.6666666666667</v>
      </c>
      <c r="AD31" s="30"/>
      <c r="AE31" s="19">
        <f>(3485+3480+1785)/3</f>
        <v>2916.6666666666665</v>
      </c>
      <c r="AF31" s="8">
        <f>(2092+1657+1485)/3</f>
        <v>1744.6666666666667</v>
      </c>
      <c r="AG31" s="48">
        <v>842.66666666666663</v>
      </c>
      <c r="AH31" s="8">
        <f>(1324+1004+1808)/3</f>
        <v>1378.6666666666667</v>
      </c>
      <c r="AI31" s="8">
        <f>(3683+3873+1741)/3</f>
        <v>3099</v>
      </c>
      <c r="AJ31" s="17">
        <f>(1568+1161+2083)/3</f>
        <v>1604</v>
      </c>
      <c r="AK31" s="30"/>
      <c r="AL31" s="19">
        <f>(3460+3124+4005)/3</f>
        <v>3529.6666666666665</v>
      </c>
      <c r="AM31" s="8">
        <f>(2149+1691+1351)/3</f>
        <v>1730.3333333333333</v>
      </c>
      <c r="AN31" s="48">
        <v>1649.3333333333333</v>
      </c>
      <c r="AO31" s="8">
        <f>(1241+796+1944)/3</f>
        <v>1327</v>
      </c>
      <c r="AP31" s="17">
        <f>(2050+1451+947)/3</f>
        <v>1482.6666666666667</v>
      </c>
      <c r="AQ31" s="30"/>
      <c r="AR31" s="30"/>
      <c r="AS31" s="19">
        <f>(2747+1921+1337)/3</f>
        <v>2001.6666666666667</v>
      </c>
      <c r="AT31" s="8">
        <f>(2616+3579+3000)/3</f>
        <v>3065</v>
      </c>
      <c r="AU31" s="48">
        <f>(848+736+1953)/3</f>
        <v>1179</v>
      </c>
      <c r="AV31" s="8">
        <f>(2464+3524+2029)/3</f>
        <v>2672.3333333333335</v>
      </c>
      <c r="AW31" s="17">
        <f>(2024+1265+857)/3</f>
        <v>1382</v>
      </c>
      <c r="AX31" s="30"/>
      <c r="AY31" s="32"/>
      <c r="AZ31" s="8">
        <f>(1174+860+1745)/3</f>
        <v>1259.6666666666667</v>
      </c>
      <c r="BA31" s="8">
        <f>(4431+3773+3690)/3</f>
        <v>3964.6666666666665</v>
      </c>
      <c r="BB31" s="48">
        <f>(1004+906+1575)/3</f>
        <v>1161.6666666666667</v>
      </c>
      <c r="BC31" s="8">
        <f>(1681+853+1245)/3</f>
        <v>1259.6666666666667</v>
      </c>
      <c r="BD31" s="17">
        <f>(1693+1614+909)/3</f>
        <v>1405.3333333333333</v>
      </c>
      <c r="BE31" s="30"/>
      <c r="BF31" s="32"/>
      <c r="BG31" s="8"/>
      <c r="BH31" s="8">
        <f>(3189+3092+3738)/3</f>
        <v>3339.6666666666665</v>
      </c>
      <c r="BI31" s="48">
        <f>(1403+1020+1987)/3</f>
        <v>1470</v>
      </c>
      <c r="BJ31" s="30">
        <f>(9031+7078+4874)/3</f>
        <v>6994.333333333333</v>
      </c>
      <c r="BK31" s="17">
        <f>(8570+5408+9113)/3</f>
        <v>7697</v>
      </c>
      <c r="BL31" s="30"/>
      <c r="BM31" s="32"/>
      <c r="BN31" s="8">
        <f>(1404+1296+2114)/3</f>
        <v>1604.6666666666667</v>
      </c>
      <c r="BO31" s="8">
        <f>(4166+3214+3731)/3</f>
        <v>3703.6666666666665</v>
      </c>
      <c r="BP31" s="48">
        <f>(1231+881+2050)/3</f>
        <v>1387.3333333333333</v>
      </c>
      <c r="BQ31" s="30">
        <f>(2151+1798+1491)/3</f>
        <v>1813.3333333333333</v>
      </c>
      <c r="BR31" s="17">
        <f>(6957+4868+9111)/3</f>
        <v>6978.666666666667</v>
      </c>
      <c r="BS31" s="30"/>
      <c r="BT31" s="32"/>
      <c r="BU31" s="8">
        <f>(1599+1536+2160)/3</f>
        <v>1765</v>
      </c>
      <c r="BV31" s="8">
        <f>(5301+4286+4012)/3</f>
        <v>4533</v>
      </c>
      <c r="BW31" s="48">
        <f>(4863+3648+7233)/3</f>
        <v>5248</v>
      </c>
      <c r="BX31" s="30">
        <f>(1483+987+1840)/3</f>
        <v>1436.6666666666667</v>
      </c>
      <c r="BY31" s="17">
        <v>1739</v>
      </c>
      <c r="BZ31" s="8"/>
      <c r="CA31" s="26"/>
      <c r="CB31" s="8">
        <f>(1813+1210+2059)/3</f>
        <v>1694</v>
      </c>
      <c r="CC31" s="8">
        <f>(4160+3701+3584)/3</f>
        <v>3815</v>
      </c>
      <c r="CD31" s="48">
        <f>(986+809+1931)/3</f>
        <v>1242</v>
      </c>
      <c r="CE31" s="8">
        <f>(1733+1635+2631)/3</f>
        <v>1999.6666666666667</v>
      </c>
      <c r="CF31" s="17">
        <f>(1423+933+1892)/3</f>
        <v>1416</v>
      </c>
      <c r="CG31" s="8"/>
      <c r="CH31" s="26"/>
    </row>
    <row r="32" spans="1:86" x14ac:dyDescent="0.25">
      <c r="A32">
        <v>305</v>
      </c>
      <c r="B32" s="7" t="s">
        <v>34</v>
      </c>
      <c r="C32" s="19">
        <f>(16635+14171+10927)/3</f>
        <v>13911</v>
      </c>
      <c r="D32" s="8">
        <f>(11359+10577+10156)/3</f>
        <v>10697.333333333334</v>
      </c>
      <c r="E32" s="50">
        <f>(16352+12024+11352)/3</f>
        <v>13242.666666666666</v>
      </c>
      <c r="F32" s="8">
        <f>(11044+6919+12432)/3</f>
        <v>10131.666666666666</v>
      </c>
      <c r="G32" s="8">
        <f>(10193+11638+6512)/3</f>
        <v>9447.6666666666661</v>
      </c>
      <c r="H32" s="17">
        <f>(14217+10070+11003)/3</f>
        <v>11763.333333333334</v>
      </c>
      <c r="I32" s="32"/>
      <c r="J32" s="8">
        <f>(14226+12399+11508)/3</f>
        <v>12711</v>
      </c>
      <c r="K32" s="8">
        <f>(11575+10821+8662)/3</f>
        <v>10352.666666666666</v>
      </c>
      <c r="L32" s="50">
        <f>(13409+11738+8771)/3</f>
        <v>11306</v>
      </c>
      <c r="M32" s="8">
        <f>(10224+10435+6621)/3</f>
        <v>9093.3333333333339</v>
      </c>
      <c r="N32" s="8">
        <f>(10556+8163+11448)/3</f>
        <v>10055.666666666666</v>
      </c>
      <c r="O32" s="17">
        <f>(10063+6712+13164)/3</f>
        <v>9979.6666666666661</v>
      </c>
      <c r="P32" s="30"/>
      <c r="Q32" s="19">
        <f>(13397+12560+7706)/3</f>
        <v>11221</v>
      </c>
      <c r="R32" s="8">
        <f>(12893+12740+9055)/3</f>
        <v>11562.666666666666</v>
      </c>
      <c r="S32" s="48">
        <f>(9014+6485+5545)/3</f>
        <v>7014.666666666667</v>
      </c>
      <c r="T32" s="8"/>
      <c r="U32" s="8">
        <f>(10978+5834+8216)/3</f>
        <v>8342.6666666666661</v>
      </c>
      <c r="V32" s="17">
        <f>(9710+6631+11711)/3</f>
        <v>9350.6666666666661</v>
      </c>
      <c r="W32" s="8"/>
      <c r="X32" s="19">
        <f>(14743+16334+10010)/3</f>
        <v>13695.666666666666</v>
      </c>
      <c r="Y32" s="8">
        <f>(14301+15354+8772)/3</f>
        <v>12809</v>
      </c>
      <c r="Z32" s="8">
        <v>4693</v>
      </c>
      <c r="AA32" s="49">
        <f>(9399+8383+6078)/3</f>
        <v>7953.333333333333</v>
      </c>
      <c r="AB32" s="8">
        <f>(11460+9665+8865)/3</f>
        <v>9996.6666666666661</v>
      </c>
      <c r="AC32" s="17">
        <f>(9008+6223+10591)/3</f>
        <v>8607.3333333333339</v>
      </c>
      <c r="AD32" s="30"/>
      <c r="AE32" s="19">
        <f>(12328+14068+10272)/3</f>
        <v>12222.666666666666</v>
      </c>
      <c r="AF32" s="8">
        <f>(12219+12135+8968)/3</f>
        <v>11107.333333333334</v>
      </c>
      <c r="AG32" s="48">
        <v>6297.666666666667</v>
      </c>
      <c r="AH32" s="8">
        <f>(7635+5766+9562)/3</f>
        <v>7654.333333333333</v>
      </c>
      <c r="AI32" s="8">
        <f>(11234+13279+8166)/3</f>
        <v>10893</v>
      </c>
      <c r="AJ32" s="17">
        <f>(12389+7031+12219)/3</f>
        <v>10546.333333333334</v>
      </c>
      <c r="AK32" s="30"/>
      <c r="AL32" s="19">
        <f>(13381+11440+10072)/3</f>
        <v>11631</v>
      </c>
      <c r="AM32" s="8">
        <f>(11521+10603+8156)/3</f>
        <v>10093.333333333334</v>
      </c>
      <c r="AN32" s="48">
        <v>10806.666666666666</v>
      </c>
      <c r="AO32" s="8">
        <f>(10791+6917+9859)/3</f>
        <v>9189</v>
      </c>
      <c r="AP32" s="17">
        <f>(11322+9110+6356)/3</f>
        <v>8929.3333333333339</v>
      </c>
      <c r="AQ32" s="30"/>
      <c r="AR32" s="30"/>
      <c r="AS32" s="19">
        <f>(11499+11606+8791)/3</f>
        <v>10632</v>
      </c>
      <c r="AT32" s="8">
        <f>(7991+6060+11893)/3</f>
        <v>8648</v>
      </c>
      <c r="AU32" s="48">
        <f>(6689+7121+12685)/3</f>
        <v>8831.6666666666661</v>
      </c>
      <c r="AV32" s="8">
        <f>(8319+5957+9818)/3</f>
        <v>8031.333333333333</v>
      </c>
      <c r="AW32" s="17">
        <f>(11082+9085+7302)/3</f>
        <v>9156.3333333333339</v>
      </c>
      <c r="AX32" s="30"/>
      <c r="AY32" s="32"/>
      <c r="AZ32" s="8">
        <f>(9315+7792+11911)/3</f>
        <v>9672.6666666666661</v>
      </c>
      <c r="BA32" s="8">
        <f>(11819+8617+11859)/3</f>
        <v>10765</v>
      </c>
      <c r="BB32" s="48">
        <f>(12791+8278+11635)/3</f>
        <v>10901.333333333334</v>
      </c>
      <c r="BC32" s="8">
        <f>(9338+5680+7552)/3</f>
        <v>7523.333333333333</v>
      </c>
      <c r="BD32" s="17">
        <f>(9923+7304+7510)/3</f>
        <v>8245.6666666666661</v>
      </c>
      <c r="BE32" s="30"/>
      <c r="BF32" s="32"/>
      <c r="BG32" s="8"/>
      <c r="BH32" s="8">
        <f>(11075+8826+12804)/3</f>
        <v>10901.666666666666</v>
      </c>
      <c r="BI32" s="48">
        <f>(11903+7893+12741)/3</f>
        <v>10845.666666666666</v>
      </c>
      <c r="BJ32" s="30">
        <f>(10236+8347+10062)/3</f>
        <v>9548.3333333333339</v>
      </c>
      <c r="BK32" s="17">
        <f>(9855+7046+11861)/3</f>
        <v>9587.3333333333339</v>
      </c>
      <c r="BL32" s="30"/>
      <c r="BM32" s="32"/>
      <c r="BN32" s="8">
        <f>(11723+10339+14679)/3</f>
        <v>12247</v>
      </c>
      <c r="BO32" s="8">
        <f>(14529+10593+14723)/3</f>
        <v>13281.666666666666</v>
      </c>
      <c r="BP32" s="48">
        <f>(11339+8879+14507)/3</f>
        <v>11575</v>
      </c>
      <c r="BQ32" s="30">
        <f>(10462+9705+8084)/3</f>
        <v>9417</v>
      </c>
      <c r="BR32" s="17">
        <f>(10538+6342+11920)/3</f>
        <v>9600</v>
      </c>
      <c r="BS32" s="30"/>
      <c r="BT32" s="32"/>
      <c r="BU32" s="8">
        <f>(15331+13708+13448)/3</f>
        <v>14162.333333333334</v>
      </c>
      <c r="BV32" s="8">
        <f>(14932+9676+14462)/3</f>
        <v>13023.333333333334</v>
      </c>
      <c r="BW32" s="48">
        <f>(10950+4573+12514)/3</f>
        <v>9345.6666666666661</v>
      </c>
      <c r="BX32" s="30">
        <f>(11026+8128+13596)/3</f>
        <v>10916.666666666666</v>
      </c>
      <c r="BY32" s="17">
        <v>10037</v>
      </c>
      <c r="BZ32" s="8"/>
      <c r="CA32" s="26"/>
      <c r="CB32" s="8">
        <f>(11483+8954+12917)/3</f>
        <v>11118</v>
      </c>
      <c r="CC32" s="8">
        <f>(13032+12398+16880)/3</f>
        <v>14103.333333333334</v>
      </c>
      <c r="CD32" s="48">
        <f>(6412+5603+11965)/3</f>
        <v>7993.333333333333</v>
      </c>
      <c r="CE32" s="8">
        <f>(9275+6894+11173)/3</f>
        <v>9114</v>
      </c>
      <c r="CF32" s="17">
        <f>(10172+7525+12965)/3</f>
        <v>10220.666666666666</v>
      </c>
      <c r="CG32" s="8"/>
      <c r="CH32" s="26"/>
    </row>
    <row r="33" spans="1:782" x14ac:dyDescent="0.25">
      <c r="A33">
        <v>306</v>
      </c>
      <c r="B33" s="7" t="s">
        <v>35</v>
      </c>
      <c r="C33" s="19">
        <f>(5607+5752+4128)/3</f>
        <v>5162.333333333333</v>
      </c>
      <c r="D33" s="8">
        <f>(5731+5033+3469)/3</f>
        <v>4744.333333333333</v>
      </c>
      <c r="E33" s="50">
        <f>(5235+4805+4756)/3</f>
        <v>4932</v>
      </c>
      <c r="F33" s="8">
        <f>(4871+3280+3377)/3</f>
        <v>3842.6666666666665</v>
      </c>
      <c r="G33" s="8">
        <f>(4997+5528+3200)/3</f>
        <v>4575</v>
      </c>
      <c r="H33" s="17">
        <f>(3939+3147+4994)/3</f>
        <v>4026.6666666666665</v>
      </c>
      <c r="I33" s="32"/>
      <c r="J33" s="8">
        <f>(5677+4771+4152)/3</f>
        <v>4866.666666666667</v>
      </c>
      <c r="K33" s="8">
        <f>(5980+5126+3988)/3</f>
        <v>5031.333333333333</v>
      </c>
      <c r="L33" s="50">
        <f>(6230+5506+3404)/3</f>
        <v>5046.666666666667</v>
      </c>
      <c r="M33" s="8">
        <f>(4673+5080+2622)/3</f>
        <v>4125</v>
      </c>
      <c r="N33" s="8">
        <f>(5439+4408+5326)/3</f>
        <v>5057.666666666667</v>
      </c>
      <c r="O33" s="17">
        <f>(4796+2967+4903)/3</f>
        <v>4222</v>
      </c>
      <c r="P33" s="30"/>
      <c r="Q33" s="19">
        <f>(5723+4554+3175)/3</f>
        <v>4484</v>
      </c>
      <c r="R33" s="8">
        <f>(6193+6279+4289)/3</f>
        <v>5587</v>
      </c>
      <c r="S33" s="48">
        <f>(3850+3218+2121)/3</f>
        <v>3063</v>
      </c>
      <c r="T33" s="8"/>
      <c r="U33" s="8">
        <f>(5974+2487+3696)/3</f>
        <v>4052.3333333333335</v>
      </c>
      <c r="V33" s="17"/>
      <c r="W33" s="8"/>
      <c r="X33" s="19">
        <f>(6312+6162+3759)/3</f>
        <v>5411</v>
      </c>
      <c r="Y33" s="8">
        <f>(6382+6037+4190)/3</f>
        <v>5536.333333333333</v>
      </c>
      <c r="Z33" s="8">
        <v>1884.6666666666667</v>
      </c>
      <c r="AA33" s="49">
        <f>(4317+3986+2089)/3</f>
        <v>3464</v>
      </c>
      <c r="AB33" s="8">
        <f>(6163+5518+3928)/3</f>
        <v>5203</v>
      </c>
      <c r="AC33" s="17">
        <f>(4089+3132+4370)/3</f>
        <v>3863.6666666666665</v>
      </c>
      <c r="AD33" s="30"/>
      <c r="AE33" s="19">
        <f>(6400+5828+3333)/3</f>
        <v>5187</v>
      </c>
      <c r="AF33" s="8">
        <f>(6599+5928+4475)/3</f>
        <v>5667.333333333333</v>
      </c>
      <c r="AG33" s="48">
        <v>3065.6666666666665</v>
      </c>
      <c r="AH33" s="8">
        <f>(4848+3861+6260)/3</f>
        <v>4989.666666666667</v>
      </c>
      <c r="AI33" s="8">
        <f>(5940+3933+3661)/3</f>
        <v>4511.333333333333</v>
      </c>
      <c r="AJ33" s="17">
        <f>(5328+3647+5976)/3</f>
        <v>4983.666666666667</v>
      </c>
      <c r="AK33" s="30"/>
      <c r="AL33" s="19">
        <f>(6483+6239+4313)/3</f>
        <v>5678.333333333333</v>
      </c>
      <c r="AM33" s="8">
        <f>(6237+4529+3692)/3</f>
        <v>4819.333333333333</v>
      </c>
      <c r="AN33" s="48">
        <v>4947</v>
      </c>
      <c r="AO33" s="8">
        <f>(5014+4271+6464)/3</f>
        <v>5249.666666666667</v>
      </c>
      <c r="AP33" s="17">
        <f>(5821+5099+3963)/3</f>
        <v>4961</v>
      </c>
      <c r="AQ33" s="30"/>
      <c r="AR33" s="30"/>
      <c r="AS33" s="19">
        <f>(6359+5780+5542)/3</f>
        <v>5893.666666666667</v>
      </c>
      <c r="AT33" s="8">
        <f>(5028+3823+5848)/3</f>
        <v>4899.666666666667</v>
      </c>
      <c r="AU33" s="48">
        <f>(3955+3382+5690)/3</f>
        <v>4342.333333333333</v>
      </c>
      <c r="AV33" s="8">
        <f>(5021+3563+5925)/3</f>
        <v>4836.333333333333</v>
      </c>
      <c r="AW33" s="17">
        <f>(6072+5241+4775)/3</f>
        <v>5362.666666666667</v>
      </c>
      <c r="AX33" s="30"/>
      <c r="AY33" s="32"/>
      <c r="AZ33" s="8">
        <f>(4593+3756+5702)/3</f>
        <v>4683.666666666667</v>
      </c>
      <c r="BA33" s="8">
        <f>(4335+3475+5556)/3</f>
        <v>4455.333333333333</v>
      </c>
      <c r="BB33" s="48">
        <f>(4063+3522+4691)/3</f>
        <v>4092</v>
      </c>
      <c r="BC33" s="8">
        <f>(5619+3402+4243)/3</f>
        <v>4421.333333333333</v>
      </c>
      <c r="BD33" s="17">
        <f>(4852+3978+4476)/3</f>
        <v>4435.333333333333</v>
      </c>
      <c r="BE33" s="30"/>
      <c r="BF33" s="32"/>
      <c r="BG33" s="8"/>
      <c r="BH33" s="8">
        <f>(5119+3584+5826)/3</f>
        <v>4843</v>
      </c>
      <c r="BI33" s="48">
        <f>(4218+3174+5566)/3</f>
        <v>4319.333333333333</v>
      </c>
      <c r="BJ33" s="30">
        <f>(5933+4722+3591)/3</f>
        <v>4748.666666666667</v>
      </c>
      <c r="BK33" s="17">
        <f>(5750+3514+5855)/3</f>
        <v>5039.666666666667</v>
      </c>
      <c r="BL33" s="30"/>
      <c r="BM33" s="32"/>
      <c r="BN33" s="8">
        <f>(5836+4298+7041)/3</f>
        <v>5725</v>
      </c>
      <c r="BO33" s="8">
        <f>(5807+4348+6013)/3</f>
        <v>5389.333333333333</v>
      </c>
      <c r="BP33" s="48">
        <f>(4577+3657+5527)/3</f>
        <v>4587</v>
      </c>
      <c r="BQ33" s="30">
        <f>(5347+5051+5193)/3</f>
        <v>5197</v>
      </c>
      <c r="BR33" s="17">
        <f>(4588+3307+5703)/3</f>
        <v>4532.666666666667</v>
      </c>
      <c r="BS33" s="30"/>
      <c r="BT33" s="32"/>
      <c r="BU33" s="8">
        <f>(6039+4484+6163)/3</f>
        <v>5562</v>
      </c>
      <c r="BV33" s="8">
        <f>(5616+3859+5924)/3</f>
        <v>5133</v>
      </c>
      <c r="BW33" s="48">
        <f>(3168+2183+4930)/3</f>
        <v>3427</v>
      </c>
      <c r="BX33" s="30">
        <f>(4958+4112+6624)/3</f>
        <v>5231.333333333333</v>
      </c>
      <c r="BY33" s="17">
        <v>4614</v>
      </c>
      <c r="BZ33" s="8"/>
      <c r="CA33" s="26"/>
      <c r="CB33" s="8">
        <f>(5634+4385+6450)/3</f>
        <v>5489.666666666667</v>
      </c>
      <c r="CC33" s="8">
        <f>(5833+4197+5819)/3</f>
        <v>5283</v>
      </c>
      <c r="CD33" s="48">
        <f>(2497+2555+4937)/3</f>
        <v>3329.6666666666665</v>
      </c>
      <c r="CE33" s="8">
        <f>(3923+3153+5210)/3</f>
        <v>4095.3333333333335</v>
      </c>
      <c r="CF33" s="17">
        <f>(4814+3054+5610)/3</f>
        <v>4492.666666666667</v>
      </c>
      <c r="CG33" s="8"/>
      <c r="CH33" s="26"/>
    </row>
    <row r="34" spans="1:782" x14ac:dyDescent="0.25">
      <c r="A34">
        <v>306</v>
      </c>
      <c r="B34" s="7" t="s">
        <v>36</v>
      </c>
      <c r="C34" s="19">
        <f>(2015+1538+1208)/3</f>
        <v>1587</v>
      </c>
      <c r="D34" s="8">
        <f>(7407+6423+4594)/3</f>
        <v>6141.333333333333</v>
      </c>
      <c r="E34" s="50">
        <f>(7571+6933+7142)/3</f>
        <v>7215.333333333333</v>
      </c>
      <c r="F34" s="8">
        <f>(7153+5460+4985)/3</f>
        <v>5866</v>
      </c>
      <c r="G34" s="8">
        <f>(7636+8366+4505)/3</f>
        <v>6835.666666666667</v>
      </c>
      <c r="H34" s="17">
        <f>(6568+4800+8112)/3</f>
        <v>6493.333333333333</v>
      </c>
      <c r="I34" s="32"/>
      <c r="J34" s="8">
        <f>(1993+1437+650)/3</f>
        <v>1360</v>
      </c>
      <c r="K34" s="8">
        <f>(7604+6560+5302)/3</f>
        <v>6488.666666666667</v>
      </c>
      <c r="L34" s="50">
        <f>(9090+7832+4563)/3</f>
        <v>7161.666666666667</v>
      </c>
      <c r="M34" s="8">
        <f>(6941+7991+3868)/3</f>
        <v>6266.666666666667</v>
      </c>
      <c r="N34" s="8">
        <f>(8397+6844+7949)/3</f>
        <v>7730</v>
      </c>
      <c r="O34" s="17">
        <f>(7468+4578+8097)/3</f>
        <v>6714.333333333333</v>
      </c>
      <c r="P34" s="30"/>
      <c r="Q34" s="19">
        <f>(2490+1445+1201)/3</f>
        <v>1712</v>
      </c>
      <c r="R34" s="8">
        <f>(8430+9016+6237)/3</f>
        <v>7894.333333333333</v>
      </c>
      <c r="S34" s="48">
        <f>(5563+4497+3287)/3</f>
        <v>4449</v>
      </c>
      <c r="T34" s="8"/>
      <c r="U34" s="8">
        <f>(8914+3489+5583)/3</f>
        <v>5995.333333333333</v>
      </c>
      <c r="V34" s="17"/>
      <c r="W34" s="8"/>
      <c r="X34" s="19">
        <f>(8637+8596+4856)/3</f>
        <v>7363</v>
      </c>
      <c r="Y34" s="8">
        <f>(8919+8300+5384)/3</f>
        <v>7534.333333333333</v>
      </c>
      <c r="Z34" s="8">
        <v>460</v>
      </c>
      <c r="AA34" s="49">
        <f>(6337+6186+3102)/3</f>
        <v>5208.333333333333</v>
      </c>
      <c r="AB34" s="8">
        <f>(9101+7802+5864)/3</f>
        <v>7589</v>
      </c>
      <c r="AC34" s="17">
        <f>(6515+4731+6664)/3</f>
        <v>5970</v>
      </c>
      <c r="AD34" s="30"/>
      <c r="AE34" s="19">
        <f>(9007+7631+4328)/3</f>
        <v>6988.666666666667</v>
      </c>
      <c r="AF34" s="8">
        <f>(8989+8190+6282)/3</f>
        <v>7820.333333333333</v>
      </c>
      <c r="AG34" s="48">
        <v>842.66666666666663</v>
      </c>
      <c r="AH34" s="8">
        <f>(6490+5102+8988)/3</f>
        <v>6860</v>
      </c>
      <c r="AI34" s="8">
        <f>(8526+5322+4908)/3</f>
        <v>6252</v>
      </c>
      <c r="AJ34" s="17">
        <f>(8134+5230+9127)/3</f>
        <v>7497</v>
      </c>
      <c r="AK34" s="30"/>
      <c r="AL34" s="19">
        <f>(8721+8354+5700)/3</f>
        <v>7591.666666666667</v>
      </c>
      <c r="AM34" s="8">
        <f>(8597+5825+4803)/3</f>
        <v>6408.333333333333</v>
      </c>
      <c r="AN34" s="48">
        <v>1649.3333333333333</v>
      </c>
      <c r="AO34" s="8">
        <f>(6872+5976+9399)/3</f>
        <v>7415.666666666667</v>
      </c>
      <c r="AP34" s="17">
        <f>(8113+6760+5205)/3</f>
        <v>6692.666666666667</v>
      </c>
      <c r="AQ34" s="30"/>
      <c r="AR34" s="30"/>
      <c r="AS34" s="19">
        <f>(8393+7987+7932)/3</f>
        <v>8104</v>
      </c>
      <c r="AT34" s="8">
        <f>(6813+5080+7802)/3</f>
        <v>6565</v>
      </c>
      <c r="AU34" s="48">
        <f>(5523+4719+7972)/3</f>
        <v>6071.333333333333</v>
      </c>
      <c r="AV34" s="8">
        <f>(7063+4899+8492)/3</f>
        <v>6818</v>
      </c>
      <c r="AW34" s="17">
        <f>(2024+1265+857)/3</f>
        <v>1382</v>
      </c>
      <c r="AX34" s="30"/>
      <c r="AY34" s="32"/>
      <c r="AZ34" s="8">
        <f>(6220+5164+8173)/3</f>
        <v>6519</v>
      </c>
      <c r="BA34" s="8">
        <f>(5939+4775+7980)/3</f>
        <v>6231.333333333333</v>
      </c>
      <c r="BB34" s="48">
        <f>(5723+4695+6783)/3</f>
        <v>5733.666666666667</v>
      </c>
      <c r="BC34" s="8">
        <f>(8547+4832+5887)/3</f>
        <v>6422</v>
      </c>
      <c r="BD34" s="17">
        <f>(4852+3978+4476)/3</f>
        <v>4435.333333333333</v>
      </c>
      <c r="BE34" s="30"/>
      <c r="BF34" s="32"/>
      <c r="BG34" s="8"/>
      <c r="BH34" s="8">
        <f>(7167+4962+8034)/3</f>
        <v>6721</v>
      </c>
      <c r="BI34" s="48">
        <f>(5923+4732+8116)/3</f>
        <v>6257</v>
      </c>
      <c r="BJ34" s="30">
        <f>(9031+7078+4874)/3</f>
        <v>6994.333333333333</v>
      </c>
      <c r="BK34" s="17">
        <f>(8570+5408+9113)/3</f>
        <v>7697</v>
      </c>
      <c r="BL34" s="30"/>
      <c r="BM34" s="32"/>
      <c r="BN34" s="8">
        <f>(7804+5817+9546)/3</f>
        <v>7722.333333333333</v>
      </c>
      <c r="BO34" s="8">
        <f>(7944+5849+8584)/3</f>
        <v>7459</v>
      </c>
      <c r="BP34" s="48">
        <f>(6948+5517+8092)/3</f>
        <v>6852.333333333333</v>
      </c>
      <c r="BQ34" s="30">
        <f>(8410+7405+8248)/3</f>
        <v>8021</v>
      </c>
      <c r="BR34" s="17">
        <f>(6957+4868+9111)/3</f>
        <v>6978.666666666667</v>
      </c>
      <c r="BS34" s="30"/>
      <c r="BT34" s="32"/>
      <c r="BU34" s="8">
        <f>(8719+5830+8091)/3</f>
        <v>7546.666666666667</v>
      </c>
      <c r="BV34" s="8">
        <f>(8596+5356+8495)/3</f>
        <v>7482.333333333333</v>
      </c>
      <c r="BW34" s="48">
        <f>(4863+3648+7233)/3</f>
        <v>5248</v>
      </c>
      <c r="BX34" s="30">
        <f>(7116+5988+10377)/3</f>
        <v>7827</v>
      </c>
      <c r="BY34" s="17">
        <v>7139</v>
      </c>
      <c r="BZ34" s="8"/>
      <c r="CA34" s="26"/>
      <c r="CB34" s="8">
        <f>(7007+6376+8560)/3</f>
        <v>7314.333333333333</v>
      </c>
      <c r="CC34" s="8">
        <f>(8740+6606+8731)/3</f>
        <v>8025.666666666667</v>
      </c>
      <c r="CD34" s="48">
        <f>(3934+4074+7506)/3</f>
        <v>5171.333333333333</v>
      </c>
      <c r="CE34" s="8">
        <f>(6377+4675+8148)/3</f>
        <v>6400</v>
      </c>
      <c r="CF34" s="17">
        <f>(7445+4756+9126)/3</f>
        <v>7109</v>
      </c>
      <c r="CG34" s="8"/>
      <c r="CH34" s="26"/>
    </row>
    <row r="35" spans="1:782" x14ac:dyDescent="0.25">
      <c r="A35">
        <v>314</v>
      </c>
      <c r="B35" s="7" t="s">
        <v>37</v>
      </c>
      <c r="C35" s="19">
        <f>(7529+7265+6057)/3</f>
        <v>6950.333333333333</v>
      </c>
      <c r="D35" s="8">
        <f>(6216+5707+3757)/3</f>
        <v>5226.666666666667</v>
      </c>
      <c r="E35" s="50">
        <f>(7034+7711+5347)/3</f>
        <v>6697.333333333333</v>
      </c>
      <c r="F35" s="8">
        <f>(3127+1803+1926)/3</f>
        <v>2285.3333333333335</v>
      </c>
      <c r="G35" s="8">
        <f>(3804+4777+2812)/3</f>
        <v>3797.6666666666665</v>
      </c>
      <c r="H35" s="17">
        <f>(3703+3184+4078)/3</f>
        <v>3655</v>
      </c>
      <c r="I35" s="32"/>
      <c r="J35" s="8">
        <f>(7396+6312+6090)/3</f>
        <v>6599.333333333333</v>
      </c>
      <c r="K35" s="8">
        <f>(6170+5517+4908)/3</f>
        <v>5531.666666666667</v>
      </c>
      <c r="L35" s="50">
        <f>(4878+4338+2941)/3</f>
        <v>4052.3333333333335</v>
      </c>
      <c r="M35" s="8">
        <f>(3101+2810+1614)/3</f>
        <v>2508.3333333333335</v>
      </c>
      <c r="N35" s="8">
        <f>(4372+2516+4081)/3</f>
        <v>3656.3333333333335</v>
      </c>
      <c r="O35" s="17">
        <f>(3932+2479+4381)/3</f>
        <v>3597.3333333333335</v>
      </c>
      <c r="P35" s="30"/>
      <c r="Q35" s="19">
        <f>(7454+5793+3933)/3</f>
        <v>5726.666666666667</v>
      </c>
      <c r="R35" s="8">
        <f>(7172+7933+3800)/3</f>
        <v>6301.666666666667</v>
      </c>
      <c r="S35" s="48">
        <f>(2798+2427+1801)/3</f>
        <v>2342</v>
      </c>
      <c r="T35" s="8"/>
      <c r="U35" s="8">
        <f>(4362+1836+2789)/3</f>
        <v>2995.6666666666665</v>
      </c>
      <c r="V35" s="17">
        <f>(4679+3287+4218)/3</f>
        <v>4061.3333333333335</v>
      </c>
      <c r="W35" s="8"/>
      <c r="X35" s="19">
        <f>(7589+7738+4303)/3</f>
        <v>6543.333333333333</v>
      </c>
      <c r="Y35" s="8">
        <f>(7564+8047+4306)/3</f>
        <v>6639</v>
      </c>
      <c r="Z35" s="8">
        <v>1345.3333333333333</v>
      </c>
      <c r="AA35" s="49">
        <f>(2887+1911+1325)/3</f>
        <v>2041</v>
      </c>
      <c r="AB35" s="8">
        <f>(4561+4474+4081)/3</f>
        <v>4372</v>
      </c>
      <c r="AC35" s="17">
        <f>(3502+3589+3602)/3</f>
        <v>3564.3333333333335</v>
      </c>
      <c r="AD35" s="30"/>
      <c r="AE35" s="19">
        <f>(7130+6454+3527)/3</f>
        <v>5703.666666666667</v>
      </c>
      <c r="AF35" s="8">
        <f>(6139+6148+4221)/3</f>
        <v>5502.666666666667</v>
      </c>
      <c r="AG35" s="48">
        <v>1786.6666666666667</v>
      </c>
      <c r="AH35" s="8">
        <f>(2872+2219+3825)/3</f>
        <v>2972</v>
      </c>
      <c r="AI35" s="8">
        <f>(3414+3215+2802)/3</f>
        <v>3143.6666666666665</v>
      </c>
      <c r="AJ35" s="17">
        <f>(3461+2484+3630)/3</f>
        <v>3191.6666666666665</v>
      </c>
      <c r="AK35" s="30"/>
      <c r="AL35" s="19">
        <f>(7507+6868+4807)/3</f>
        <v>6394</v>
      </c>
      <c r="AM35" s="8">
        <f>(6206+5047+4582)/3</f>
        <v>5278.333333333333</v>
      </c>
      <c r="AN35" s="48">
        <v>2475.6666666666665</v>
      </c>
      <c r="AO35" s="8">
        <f>(4076+2862+4250)/3</f>
        <v>3729.3333333333335</v>
      </c>
      <c r="AP35" s="17">
        <f>(3566+3675+2339)/3</f>
        <v>3193.3333333333335</v>
      </c>
      <c r="AQ35" s="30"/>
      <c r="AR35" s="30"/>
      <c r="AS35" s="19">
        <f>(6087+6620+5062)/3</f>
        <v>5923</v>
      </c>
      <c r="AT35" s="8">
        <f>(5472+4045+6825)/3</f>
        <v>5447.333333333333</v>
      </c>
      <c r="AU35" s="48">
        <f>(2146+1336+3556)/3</f>
        <v>2346</v>
      </c>
      <c r="AV35" s="8">
        <f>(3855+2386+3735)/3</f>
        <v>3325.3333333333335</v>
      </c>
      <c r="AW35" s="17">
        <f>(4309+3127+2808)/3</f>
        <v>3414.6666666666665</v>
      </c>
      <c r="AX35" s="30"/>
      <c r="AY35" s="32"/>
      <c r="AZ35" s="8">
        <f>(5250+3944+7439)/3</f>
        <v>5544.333333333333</v>
      </c>
      <c r="BA35" s="8">
        <f>(5327+4019+6081)/3</f>
        <v>5142.333333333333</v>
      </c>
      <c r="BB35" s="48">
        <f>(3382+2470+2520)/3</f>
        <v>2790.6666666666665</v>
      </c>
      <c r="BC35" s="8">
        <f>(3954+2606+2871)/3</f>
        <v>3143.6666666666665</v>
      </c>
      <c r="BD35" s="17">
        <f>(3296+2771+3054)/3</f>
        <v>3040.3333333333335</v>
      </c>
      <c r="BE35" s="30"/>
      <c r="BF35" s="32"/>
      <c r="BG35" s="8"/>
      <c r="BH35" s="8">
        <f>(6340+3899+6904)/3</f>
        <v>5714.333333333333</v>
      </c>
      <c r="BI35" s="48">
        <f>(2927+2860+3918)/3</f>
        <v>3235</v>
      </c>
      <c r="BJ35" s="30">
        <f>(4456+3300+2933)/3</f>
        <v>3563</v>
      </c>
      <c r="BK35" s="17">
        <f>(4266+3035+4202)/3</f>
        <v>3834.3333333333335</v>
      </c>
      <c r="BL35" s="30"/>
      <c r="BM35" s="32"/>
      <c r="BN35" s="8">
        <f>(6749+4310+8229)/3</f>
        <v>6429.333333333333</v>
      </c>
      <c r="BO35" s="8">
        <f>(6490+4577+7519)/3</f>
        <v>6195.333333333333</v>
      </c>
      <c r="BP35" s="48">
        <f>(3860+2840+3946)/3</f>
        <v>3548.6666666666665</v>
      </c>
      <c r="BQ35" s="30">
        <f>(4051+3866+3335)/3</f>
        <v>3750.6666666666665</v>
      </c>
      <c r="BR35" s="17">
        <f>(3043+4122+4325)/3</f>
        <v>3830</v>
      </c>
      <c r="BS35" s="30"/>
      <c r="BT35" s="32"/>
      <c r="BU35" s="8">
        <f>(8416+5957+7126)/3</f>
        <v>7166.333333333333</v>
      </c>
      <c r="BV35" s="8">
        <f>(7311+4627+7899)/3</f>
        <v>6612.333333333333</v>
      </c>
      <c r="BW35" s="48">
        <f>(2020+1176+3486)/3</f>
        <v>2227.3333333333335</v>
      </c>
      <c r="BX35" s="30">
        <f>(3748+3062+4766)/3</f>
        <v>3858.6666666666665</v>
      </c>
      <c r="BY35" s="17">
        <v>3781</v>
      </c>
      <c r="BZ35" s="8"/>
      <c r="CA35" s="26"/>
      <c r="CB35" s="8">
        <f>(6788+4749+7360)/3</f>
        <v>6299</v>
      </c>
      <c r="CC35" s="8">
        <f>(6787+4629+7656)/3</f>
        <v>6357.333333333333</v>
      </c>
      <c r="CD35" s="48">
        <f>(1644+1767+3537)/3</f>
        <v>2316</v>
      </c>
      <c r="CE35" s="8">
        <f>(3785+3108+4102)/3</f>
        <v>3665</v>
      </c>
      <c r="CF35" s="17">
        <f>(3492+2672+4850)/3</f>
        <v>3671.3333333333335</v>
      </c>
      <c r="CG35" s="8"/>
      <c r="CH35" s="26"/>
    </row>
    <row r="36" spans="1:782" x14ac:dyDescent="0.25">
      <c r="A36">
        <v>314</v>
      </c>
      <c r="B36" s="7" t="s">
        <v>38</v>
      </c>
      <c r="C36" s="19">
        <f>(7531+7247+6444)/3</f>
        <v>7074</v>
      </c>
      <c r="D36" s="8">
        <f>(5990+5619+3814)/3</f>
        <v>5141</v>
      </c>
      <c r="E36" s="50">
        <f>(6974+7532+5427)/3</f>
        <v>6644.333333333333</v>
      </c>
      <c r="F36" s="8">
        <f>(5553+2831+3196)/3</f>
        <v>3860</v>
      </c>
      <c r="G36" s="8">
        <f>(6844+8728+4735)/3</f>
        <v>6769</v>
      </c>
      <c r="H36" s="17">
        <f>(6264+5527+7538)/3</f>
        <v>6443</v>
      </c>
      <c r="I36" s="32"/>
      <c r="J36" s="8">
        <f>(7125+6090+6040)/3</f>
        <v>6418.333333333333</v>
      </c>
      <c r="K36" s="8">
        <f>(5961+5517+5037)/3</f>
        <v>5505</v>
      </c>
      <c r="L36" s="50">
        <f>(7320+6054+4359)/3</f>
        <v>5911</v>
      </c>
      <c r="M36" s="8">
        <f>(5533+4616+2404)/3</f>
        <v>4184.333333333333</v>
      </c>
      <c r="N36" s="8">
        <f>(7422+3852+7514)/3</f>
        <v>6262.666666666667</v>
      </c>
      <c r="O36" s="17">
        <f>(7293+4360+7855)/3</f>
        <v>6502.666666666667</v>
      </c>
      <c r="P36" s="30"/>
      <c r="Q36" s="19">
        <f>(6959+5656+3865)/3</f>
        <v>5493.333333333333</v>
      </c>
      <c r="R36" s="8">
        <f>(6971+8198+3969)/3</f>
        <v>6379.333333333333</v>
      </c>
      <c r="S36" s="48">
        <f>(4410+3780+2988)/3</f>
        <v>3726</v>
      </c>
      <c r="T36" s="8"/>
      <c r="U36" s="8">
        <f>(7498+2843+4487)/3</f>
        <v>4942.666666666667</v>
      </c>
      <c r="V36" s="17">
        <f>(8541+6469+7778)/3</f>
        <v>7596</v>
      </c>
      <c r="W36" s="8"/>
      <c r="X36" s="19">
        <f>(6983+6708+4374)/3</f>
        <v>6021.666666666667</v>
      </c>
      <c r="Y36" s="8">
        <f>(6938+7266+4362)/3</f>
        <v>6188.666666666667</v>
      </c>
      <c r="Z36" s="8">
        <v>2052</v>
      </c>
      <c r="AA36" s="49">
        <f>(5138+3280+1951)/3</f>
        <v>3456.3333333333335</v>
      </c>
      <c r="AB36" s="8">
        <f>(8414+7860+7132)/3</f>
        <v>7802</v>
      </c>
      <c r="AC36" s="17">
        <f>(6149+5854+6662)/3</f>
        <v>6221.666666666667</v>
      </c>
      <c r="AD36" s="30"/>
      <c r="AE36" s="19">
        <f>(6554+6201+3609)/3</f>
        <v>5454.666666666667</v>
      </c>
      <c r="AF36" s="8">
        <f>(5429+5670+4037)/3</f>
        <v>5045.333333333333</v>
      </c>
      <c r="AG36" s="48">
        <v>3055</v>
      </c>
      <c r="AH36" s="8">
        <f>(5006+3742+6893)/3</f>
        <v>5213.666666666667</v>
      </c>
      <c r="AI36" s="8">
        <f>(6261+5704+4327)/3</f>
        <v>5430.666666666667</v>
      </c>
      <c r="AJ36" s="17">
        <f>(5559+4145+6792)/3</f>
        <v>5498.666666666667</v>
      </c>
      <c r="AK36" s="30"/>
      <c r="AL36" s="19">
        <f>(7031+6574+4833)/3</f>
        <v>6146</v>
      </c>
      <c r="AM36" s="8">
        <f>(5474+5011+5154)/3</f>
        <v>5213</v>
      </c>
      <c r="AN36" s="48">
        <v>4423.333333333333</v>
      </c>
      <c r="AO36" s="8">
        <f>(7362+4561+7672)/3</f>
        <v>6531.666666666667</v>
      </c>
      <c r="AP36" s="17">
        <f>(6424+6382+6382)/3</f>
        <v>6396</v>
      </c>
      <c r="AQ36" s="30"/>
      <c r="AR36" s="30"/>
      <c r="AS36" s="19">
        <f>(5869+6676+5336)/3</f>
        <v>5960.333333333333</v>
      </c>
      <c r="AT36" s="8">
        <f>(6458+4481+7036)/3</f>
        <v>5991.666666666667</v>
      </c>
      <c r="AU36" s="48">
        <f>(3796+2791+6571)/3</f>
        <v>4386</v>
      </c>
      <c r="AV36" s="8">
        <f>(6956+4061+6541)/3</f>
        <v>5852.666666666667</v>
      </c>
      <c r="AW36" s="17">
        <f>(7661+5423+4519)/3</f>
        <v>5867.666666666667</v>
      </c>
      <c r="AX36" s="30"/>
      <c r="AY36" s="32"/>
      <c r="AZ36" s="8">
        <f>(5640+4265+7531)/3</f>
        <v>5812</v>
      </c>
      <c r="BA36" s="8">
        <f>(5524+4400+6000)/3</f>
        <v>5308</v>
      </c>
      <c r="BB36" s="48">
        <f>(5906+4173+4888)/3</f>
        <v>4989</v>
      </c>
      <c r="BC36" s="8">
        <f>(7102+4350+4856)/3</f>
        <v>5436</v>
      </c>
      <c r="BD36" s="17">
        <f>(3296+2771+3054)/3</f>
        <v>3040.3333333333335</v>
      </c>
      <c r="BE36" s="30"/>
      <c r="BF36" s="32"/>
      <c r="BG36" s="8"/>
      <c r="BH36" s="8">
        <f>(6469+4315+6639)/3</f>
        <v>5807.666666666667</v>
      </c>
      <c r="BI36" s="48">
        <f>(4924+4890+7032)/3</f>
        <v>5615.333333333333</v>
      </c>
      <c r="BJ36" s="30">
        <f>(7868+6107+4452)/3</f>
        <v>6142.333333333333</v>
      </c>
      <c r="BK36" s="17">
        <f>(6873+5373+7616)/3</f>
        <v>6620.666666666667</v>
      </c>
      <c r="BL36" s="30"/>
      <c r="BM36" s="32"/>
      <c r="BN36" s="8">
        <f>(6651+4579+8009)/3</f>
        <v>6413</v>
      </c>
      <c r="BO36" s="8">
        <f>(7080+4804+7584)/3</f>
        <v>6489.333333333333</v>
      </c>
      <c r="BP36" s="48">
        <f>(6850+5001+6882)/3</f>
        <v>6244.333333333333</v>
      </c>
      <c r="BQ36" s="30">
        <f>(7636+6499+5662)/3</f>
        <v>6599</v>
      </c>
      <c r="BR36" s="17">
        <f>(5600+6890+8229)/3</f>
        <v>6906.333333333333</v>
      </c>
      <c r="BS36" s="30"/>
      <c r="BT36" s="32"/>
      <c r="BU36" s="8">
        <f>(8316+5682+6818)/3</f>
        <v>6938.666666666667</v>
      </c>
      <c r="BV36" s="8">
        <f>(6894+4844+7709)/3</f>
        <v>6482.333333333333</v>
      </c>
      <c r="BW36" s="48">
        <f>(3510+2029+6196)/3</f>
        <v>3911.6666666666665</v>
      </c>
      <c r="BX36" s="30">
        <f>(6581+4609+8669)/3</f>
        <v>6619.666666666667</v>
      </c>
      <c r="BY36" s="17">
        <v>6406</v>
      </c>
      <c r="BZ36" s="8"/>
      <c r="CA36" s="26"/>
      <c r="CB36" s="8">
        <f>(6581+4848+7293)/3</f>
        <v>6240.666666666667</v>
      </c>
      <c r="CC36" s="8">
        <f>(7742+4997+8190)/3</f>
        <v>6976.333333333333</v>
      </c>
      <c r="CD36" s="48">
        <f>(2596+2807+6295)/3</f>
        <v>3899.3333333333335</v>
      </c>
      <c r="CE36" s="8">
        <f>(6354+5351+7375)/3</f>
        <v>6360</v>
      </c>
      <c r="CF36" s="17">
        <f>(6606+4503+9164)/3</f>
        <v>6757.666666666667</v>
      </c>
      <c r="CG36" s="8"/>
      <c r="CH36" s="26"/>
    </row>
    <row r="37" spans="1:782" s="11" customFormat="1" x14ac:dyDescent="0.25">
      <c r="B37" s="61" t="s">
        <v>45</v>
      </c>
      <c r="C37" s="62">
        <f>SUM(C8:C36)/22</f>
        <v>5738.8030303030291</v>
      </c>
      <c r="D37" s="63">
        <f t="shared" ref="D37:AH37" si="0">SUM(D3:D36)/25</f>
        <v>6142.6933333333336</v>
      </c>
      <c r="E37" s="63">
        <f t="shared" si="0"/>
        <v>6080.7200000000012</v>
      </c>
      <c r="F37" s="63">
        <f t="shared" si="0"/>
        <v>4139.6000000000004</v>
      </c>
      <c r="G37" s="63">
        <f>SUM(G3:G36)/34</f>
        <v>4451.6274509803916</v>
      </c>
      <c r="H37" s="63">
        <f>SUM(H3:H36)/31</f>
        <v>4763.3978494623661</v>
      </c>
      <c r="I37" s="64">
        <f t="shared" si="0"/>
        <v>0</v>
      </c>
      <c r="J37" s="63">
        <f>SUM(J3:J36)/22</f>
        <v>6055.4393939393949</v>
      </c>
      <c r="K37" s="63">
        <f>SUM(K3:K36)/23</f>
        <v>6460.333333333333</v>
      </c>
      <c r="L37" s="63">
        <f t="shared" si="0"/>
        <v>6310.5866666666661</v>
      </c>
      <c r="M37" s="63">
        <f t="shared" si="0"/>
        <v>4096.6000000000004</v>
      </c>
      <c r="N37" s="63">
        <f>SUM(N3:N36)/33</f>
        <v>5275.1515151515141</v>
      </c>
      <c r="O37" s="63">
        <f>SUM(O3:O36)/31</f>
        <v>4900.7526881720432</v>
      </c>
      <c r="P37" s="63">
        <f t="shared" si="0"/>
        <v>0</v>
      </c>
      <c r="Q37" s="62">
        <f>SUM(Q3:Q36)/22</f>
        <v>6183.9242424242429</v>
      </c>
      <c r="R37" s="63">
        <f>SUM(R3:R36)/23</f>
        <v>6680.768115942029</v>
      </c>
      <c r="S37" s="63">
        <f t="shared" si="0"/>
        <v>3601.5939784946236</v>
      </c>
      <c r="T37" s="63">
        <f t="shared" si="0"/>
        <v>0</v>
      </c>
      <c r="U37" s="63">
        <f>SUM(U3:U36)/33</f>
        <v>4401.1919191919187</v>
      </c>
      <c r="V37" s="63">
        <f>SUM(V3:V36)/25</f>
        <v>5144.04</v>
      </c>
      <c r="W37" s="63">
        <f t="shared" si="0"/>
        <v>0</v>
      </c>
      <c r="X37" s="62">
        <f>SUM(X3:X36)/23</f>
        <v>6137.144927536232</v>
      </c>
      <c r="Y37" s="63">
        <f>SUM(Y3:Y36)/23</f>
        <v>7221.188405797101</v>
      </c>
      <c r="Z37" s="63">
        <f t="shared" si="0"/>
        <v>1847.6746666666668</v>
      </c>
      <c r="AA37" s="63">
        <f t="shared" si="0"/>
        <v>3653.7333333333318</v>
      </c>
      <c r="AB37" s="63">
        <f>SUM(AB3:AB36)/27</f>
        <v>5468.5185185185192</v>
      </c>
      <c r="AC37" s="63">
        <f>SUM(AC3:AC36)/31</f>
        <v>4806.9354838709687</v>
      </c>
      <c r="AD37" s="63">
        <f t="shared" si="0"/>
        <v>0</v>
      </c>
      <c r="AE37" s="62">
        <f>SUM(AE3:AE36)/23</f>
        <v>6133.188405797102</v>
      </c>
      <c r="AF37" s="63">
        <f>SUM(AF3:AF36)/23</f>
        <v>7637.3768115942039</v>
      </c>
      <c r="AG37" s="63">
        <f>SUM(AG3:AG36)/23</f>
        <v>3366.9640018700329</v>
      </c>
      <c r="AH37" s="63">
        <f t="shared" si="0"/>
        <v>5747.5466666666662</v>
      </c>
      <c r="AI37" s="63">
        <f>SUM(AI3:AI36)/33</f>
        <v>5477.0202020202014</v>
      </c>
      <c r="AJ37" s="63">
        <f>SUM(AJ3:AJ36)/29</f>
        <v>5248.4367816091944</v>
      </c>
      <c r="AK37" s="63">
        <f t="shared" ref="AK37:BF37" si="1">SUM(AK3:AK36)/25</f>
        <v>0</v>
      </c>
      <c r="AL37" s="62">
        <f>SUM(AL3:AL36)/23</f>
        <v>6105.521739130435</v>
      </c>
      <c r="AM37" s="63">
        <f t="shared" si="1"/>
        <v>6729.1600000000008</v>
      </c>
      <c r="AN37" s="63">
        <f>SUM(AN3:AN36)/23</f>
        <v>4405.9449275362322</v>
      </c>
      <c r="AO37" s="63">
        <f t="shared" si="1"/>
        <v>5656.4266666666663</v>
      </c>
      <c r="AP37" s="63">
        <f>SUM(AP3:AP36)/29</f>
        <v>5627.3793103448288</v>
      </c>
      <c r="AQ37" s="63">
        <f t="shared" si="1"/>
        <v>0</v>
      </c>
      <c r="AR37" s="63">
        <f t="shared" si="1"/>
        <v>0</v>
      </c>
      <c r="AS37" s="62">
        <f>SUM(AS3:AS36)/23</f>
        <v>5584.942028985507</v>
      </c>
      <c r="AT37" s="63">
        <f t="shared" si="1"/>
        <v>6752.786666666666</v>
      </c>
      <c r="AU37" s="63">
        <f>SUM(AU3:AU36)/21</f>
        <v>5278.6825396825398</v>
      </c>
      <c r="AV37" s="63">
        <f t="shared" si="1"/>
        <v>5301.4133333333311</v>
      </c>
      <c r="AW37" s="63">
        <f>SUM(AW3:AW36)/33</f>
        <v>5057.363636363636</v>
      </c>
      <c r="AX37" s="63">
        <f t="shared" si="1"/>
        <v>0</v>
      </c>
      <c r="AY37" s="65">
        <f t="shared" si="1"/>
        <v>0</v>
      </c>
      <c r="AZ37" s="63">
        <f t="shared" si="1"/>
        <v>5607.4266666666672</v>
      </c>
      <c r="BA37" s="63">
        <f t="shared" si="1"/>
        <v>6219.5066666666689</v>
      </c>
      <c r="BB37" s="63">
        <f>SUM(BB3:BB36)/21</f>
        <v>4977.5714285714294</v>
      </c>
      <c r="BC37" s="63">
        <f t="shared" si="1"/>
        <v>4771.7733333333335</v>
      </c>
      <c r="BD37" s="63">
        <f>SUM(BD3:BD36)/31</f>
        <v>4539.4623655913983</v>
      </c>
      <c r="BE37" s="63">
        <f t="shared" si="1"/>
        <v>0</v>
      </c>
      <c r="BF37" s="65">
        <f t="shared" si="1"/>
        <v>0</v>
      </c>
      <c r="BG37" s="63">
        <v>6337</v>
      </c>
      <c r="BH37" s="63">
        <f>SUM(BH3:BH36)/25</f>
        <v>6422.253333333334</v>
      </c>
      <c r="BI37" s="63">
        <f>SUM(BI3:BI36)/23</f>
        <v>5420.1014492753611</v>
      </c>
      <c r="BJ37" s="63">
        <f>SUM(BJ3:BJ36)/23</f>
        <v>5436.0724637681151</v>
      </c>
      <c r="BK37" s="63">
        <f>SUM(BK3:BK36)/31</f>
        <v>5286.5268817204305</v>
      </c>
      <c r="BL37" s="63">
        <f>SUM(BL22:BL36)/25</f>
        <v>0</v>
      </c>
      <c r="BM37" s="65">
        <f>SUM(BM22:BM36)/25</f>
        <v>0</v>
      </c>
      <c r="BN37" s="63">
        <f t="shared" ref="BN37:CD37" si="2">SUM(BN3:BN36)/25</f>
        <v>6802.1466666666674</v>
      </c>
      <c r="BO37" s="63">
        <f t="shared" si="2"/>
        <v>8000.0000000000009</v>
      </c>
      <c r="BP37" s="63">
        <f t="shared" si="2"/>
        <v>4877.5333333333328</v>
      </c>
      <c r="BQ37" s="63">
        <f t="shared" si="2"/>
        <v>5265.12</v>
      </c>
      <c r="BR37" s="63">
        <f>SUM(BR3:BR36)/29</f>
        <v>5040.0229885057479</v>
      </c>
      <c r="BS37" s="63">
        <f t="shared" si="2"/>
        <v>0</v>
      </c>
      <c r="BT37" s="65">
        <f t="shared" si="2"/>
        <v>0</v>
      </c>
      <c r="BU37" s="63">
        <f t="shared" si="2"/>
        <v>6360.2666666666664</v>
      </c>
      <c r="BV37" s="63">
        <f t="shared" si="2"/>
        <v>6978.4400000000014</v>
      </c>
      <c r="BW37" s="63">
        <f t="shared" si="2"/>
        <v>4142.3599999999997</v>
      </c>
      <c r="BX37" s="63">
        <f t="shared" si="2"/>
        <v>5452.6133333333328</v>
      </c>
      <c r="BY37" s="63">
        <f>SUM(BY3:BY36)/29</f>
        <v>5136.2758620689656</v>
      </c>
      <c r="BZ37" s="63">
        <f t="shared" si="2"/>
        <v>0</v>
      </c>
      <c r="CA37" s="65">
        <f t="shared" si="2"/>
        <v>0</v>
      </c>
      <c r="CB37" s="63">
        <f t="shared" si="2"/>
        <v>6334.9866666666667</v>
      </c>
      <c r="CC37" s="63">
        <f t="shared" si="2"/>
        <v>6407.6533333333336</v>
      </c>
      <c r="CD37" s="63">
        <f t="shared" si="2"/>
        <v>3892.9466666666663</v>
      </c>
      <c r="CE37" s="63">
        <f>SUM(CE3:CE36)/34</f>
        <v>5245.8725490196084</v>
      </c>
      <c r="CF37" s="63">
        <f>SUM(CF3:CF36)/32</f>
        <v>4682.75</v>
      </c>
      <c r="CG37" s="63">
        <f>SUM(CG3:CG36)/25</f>
        <v>0</v>
      </c>
      <c r="CH37" s="65">
        <f>SUM(CH3:CH36)/25</f>
        <v>0</v>
      </c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</row>
    <row r="38" spans="1:782" s="12" customFormat="1" x14ac:dyDescent="0.25">
      <c r="B38" s="35" t="s">
        <v>39</v>
      </c>
      <c r="C38" s="36"/>
      <c r="D38" s="36">
        <f>(D37-C37)/C37</f>
        <v>7.037884048252091E-2</v>
      </c>
      <c r="E38" s="36"/>
      <c r="F38" s="36"/>
      <c r="G38" s="36"/>
      <c r="H38" s="36"/>
      <c r="I38" s="37"/>
      <c r="J38" s="38"/>
      <c r="K38" s="36">
        <f>(K37-J37)/J37</f>
        <v>6.6864501987944497E-2</v>
      </c>
      <c r="L38" s="36"/>
      <c r="M38" s="36"/>
      <c r="N38" s="36"/>
      <c r="O38" s="36"/>
      <c r="P38" s="37"/>
      <c r="Q38" s="38"/>
      <c r="R38" s="36">
        <f>(R37-Q37)/Q37</f>
        <v>8.0344430824238505E-2</v>
      </c>
      <c r="S38" s="36"/>
      <c r="T38" s="36"/>
      <c r="U38" s="36"/>
      <c r="V38" s="36"/>
      <c r="W38" s="37"/>
      <c r="X38" s="38"/>
      <c r="Y38" s="36">
        <f>(Y37-X37)/X37</f>
        <v>0.17663644757629349</v>
      </c>
      <c r="Z38" s="36"/>
      <c r="AA38" s="36"/>
      <c r="AB38" s="36"/>
      <c r="AC38" s="36"/>
      <c r="AD38" s="37"/>
      <c r="AE38" s="38"/>
      <c r="AF38" s="36">
        <f>(AF37-AE37)/AE37</f>
        <v>0.24525390486542695</v>
      </c>
      <c r="AG38" s="36"/>
      <c r="AH38" s="36"/>
      <c r="AI38" s="36"/>
      <c r="AJ38" s="36"/>
      <c r="AK38" s="37"/>
      <c r="AL38" s="38"/>
      <c r="AM38" s="36">
        <f>(AM37-AL37)/AL37</f>
        <v>0.10214332001680597</v>
      </c>
      <c r="AN38" s="36"/>
      <c r="AO38" s="36"/>
      <c r="AP38" s="36"/>
      <c r="AQ38" s="36"/>
      <c r="AR38" s="37"/>
      <c r="AS38" s="38"/>
      <c r="AT38" s="36">
        <f>(AT37-AS37)/AS37</f>
        <v>0.2091059551952584</v>
      </c>
      <c r="AU38" s="36"/>
      <c r="AV38" s="36"/>
      <c r="AW38" s="36"/>
      <c r="AX38" s="36"/>
      <c r="AY38" s="37"/>
      <c r="AZ38" s="38"/>
      <c r="BA38" s="36">
        <f>(BA37-AZ37)/AZ37</f>
        <v>0.10915523936113328</v>
      </c>
      <c r="BB38" s="36"/>
      <c r="BC38" s="36"/>
      <c r="BD38" s="36"/>
      <c r="BE38" s="36"/>
      <c r="BF38" s="37"/>
      <c r="BG38" s="38"/>
      <c r="BH38" s="36">
        <f>(BH37-BG37)/BG37</f>
        <v>1.3453263899847565E-2</v>
      </c>
      <c r="BI38" s="36"/>
      <c r="BJ38" s="36"/>
      <c r="BK38" s="36"/>
      <c r="BL38" s="36"/>
      <c r="BM38" s="37"/>
      <c r="BN38" s="38"/>
      <c r="BO38" s="36">
        <f>(BO37-BN37)/BN37</f>
        <v>0.17609930982572169</v>
      </c>
      <c r="BP38" s="36"/>
      <c r="BQ38" s="36"/>
      <c r="BR38" s="36"/>
      <c r="BS38" s="36"/>
      <c r="BT38" s="37"/>
      <c r="BU38" s="38"/>
      <c r="BV38" s="36">
        <f>(BV37-BU37)/BU37</f>
        <v>9.7192989811748204E-2</v>
      </c>
      <c r="BW38" s="36"/>
      <c r="BX38" s="36"/>
      <c r="BY38" s="36"/>
      <c r="BZ38" s="36"/>
      <c r="CA38" s="37"/>
      <c r="CB38" s="38"/>
      <c r="CC38" s="36">
        <f>(CC37-CB37)/CB37</f>
        <v>1.1470689756779331E-2</v>
      </c>
      <c r="CD38" s="36"/>
      <c r="CE38" s="36"/>
      <c r="CF38" s="36"/>
      <c r="CG38" s="36"/>
      <c r="CH38" s="37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</row>
    <row r="39" spans="1:782" s="13" customFormat="1" x14ac:dyDescent="0.25">
      <c r="B39" s="35" t="s">
        <v>43</v>
      </c>
      <c r="C39" s="36"/>
      <c r="D39" s="36"/>
      <c r="E39" s="36">
        <f>(E37-D37)/D37</f>
        <v>-1.0088951209241404E-2</v>
      </c>
      <c r="F39" s="36"/>
      <c r="G39" s="36"/>
      <c r="H39" s="36"/>
      <c r="I39" s="37"/>
      <c r="J39" s="38"/>
      <c r="K39" s="36"/>
      <c r="L39" s="36">
        <f>(L37-K37)/K37</f>
        <v>-2.3179402507610584E-2</v>
      </c>
      <c r="M39" s="36"/>
      <c r="N39" s="36"/>
      <c r="O39" s="36"/>
      <c r="P39" s="37"/>
      <c r="Q39" s="38"/>
      <c r="R39" s="36"/>
      <c r="S39" s="36">
        <f>(S37-R37)/R37</f>
        <v>-0.46090121435283837</v>
      </c>
      <c r="T39" s="36"/>
      <c r="U39" s="36"/>
      <c r="V39" s="36"/>
      <c r="W39" s="37"/>
      <c r="X39" s="38"/>
      <c r="Y39" s="36"/>
      <c r="Z39" s="36">
        <f>(Z37-Y37)/Y37</f>
        <v>-0.7441314970838635</v>
      </c>
      <c r="AA39" s="36"/>
      <c r="AB39" s="36"/>
      <c r="AC39" s="36"/>
      <c r="AD39" s="37"/>
      <c r="AE39" s="38"/>
      <c r="AF39" s="36"/>
      <c r="AG39" s="36">
        <f>(AG37-AF37)/AF37</f>
        <v>-0.55914653880129528</v>
      </c>
      <c r="AH39" s="36"/>
      <c r="AI39" s="36"/>
      <c r="AJ39" s="36"/>
      <c r="AK39" s="37"/>
      <c r="AL39" s="38"/>
      <c r="AM39" s="36"/>
      <c r="AN39" s="36">
        <f>(AN37-AM37)/AM37</f>
        <v>-0.34524592556333455</v>
      </c>
      <c r="AO39" s="36"/>
      <c r="AP39" s="36"/>
      <c r="AQ39" s="36"/>
      <c r="AR39" s="37"/>
      <c r="AS39" s="38"/>
      <c r="AT39" s="36"/>
      <c r="AU39" s="36">
        <f>(AU37-AT37)/AT37</f>
        <v>-0.21829567551136317</v>
      </c>
      <c r="AV39" s="36"/>
      <c r="AW39" s="36"/>
      <c r="AX39" s="36"/>
      <c r="AY39" s="37"/>
      <c r="AZ39" s="38"/>
      <c r="BA39" s="36"/>
      <c r="BB39" s="36">
        <f>(BB37-BA37)/BA37</f>
        <v>-0.1996838824454307</v>
      </c>
      <c r="BC39" s="36"/>
      <c r="BD39" s="36"/>
      <c r="BE39" s="36"/>
      <c r="BF39" s="37"/>
      <c r="BG39" s="38"/>
      <c r="BH39" s="36"/>
      <c r="BI39" s="36">
        <f>(BI37-BH37)/BH37</f>
        <v>-0.15604365509166659</v>
      </c>
      <c r="BJ39" s="36"/>
      <c r="BK39" s="36"/>
      <c r="BL39" s="36"/>
      <c r="BM39" s="37"/>
      <c r="BN39" s="38"/>
      <c r="BO39" s="36"/>
      <c r="BP39" s="36">
        <f>(BP37-BO37)/BO37</f>
        <v>-0.39030833333333348</v>
      </c>
      <c r="BQ39" s="36"/>
      <c r="BR39" s="36"/>
      <c r="BS39" s="36"/>
      <c r="BT39" s="37"/>
      <c r="BU39" s="38"/>
      <c r="BV39" s="36"/>
      <c r="BW39" s="36">
        <f>(BW37-BV37)/BV37</f>
        <v>-0.40640601624431838</v>
      </c>
      <c r="BX39" s="36"/>
      <c r="BY39" s="36"/>
      <c r="BZ39" s="36"/>
      <c r="CA39" s="37"/>
      <c r="CB39" s="38"/>
      <c r="CC39" s="36"/>
      <c r="CD39" s="36">
        <f>(CD37-CC37)/CC37</f>
        <v>-0.39245360756095843</v>
      </c>
      <c r="CE39" s="36"/>
      <c r="CF39" s="36"/>
      <c r="CG39" s="36"/>
      <c r="CH39" s="37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</row>
    <row r="40" spans="1:782" x14ac:dyDescent="0.25">
      <c r="B40" s="35" t="s">
        <v>44</v>
      </c>
      <c r="C40" s="36"/>
      <c r="D40" s="36"/>
      <c r="E40" s="36"/>
      <c r="F40" s="36">
        <f>(F37-E37)/E37</f>
        <v>-0.3192253548921839</v>
      </c>
      <c r="G40" s="36"/>
      <c r="H40" s="36"/>
      <c r="I40" s="37"/>
      <c r="J40" s="38"/>
      <c r="K40" s="36"/>
      <c r="L40" s="36"/>
      <c r="M40" s="36">
        <f>(M37-L37)/L37</f>
        <v>-0.35083690053117078</v>
      </c>
      <c r="N40" s="36"/>
      <c r="O40" s="36"/>
      <c r="P40" s="37"/>
      <c r="Q40" s="38"/>
      <c r="R40" s="36"/>
      <c r="S40" s="36"/>
      <c r="T40" s="36"/>
      <c r="U40" s="36"/>
      <c r="V40" s="36"/>
      <c r="W40" s="37"/>
      <c r="X40" s="38"/>
      <c r="Y40" s="36"/>
      <c r="Z40" s="36"/>
      <c r="AA40" s="36">
        <f>(AA37-Z37)/Z37</f>
        <v>0.97747655431403413</v>
      </c>
      <c r="AB40" s="36"/>
      <c r="AC40" s="36"/>
      <c r="AD40" s="37"/>
      <c r="AE40" s="38"/>
      <c r="AF40" s="36"/>
      <c r="AG40" s="36"/>
      <c r="AH40" s="36">
        <f>(AH37-AG37)/AG37</f>
        <v>0.70704131777899693</v>
      </c>
      <c r="AI40" s="36"/>
      <c r="AJ40" s="36"/>
      <c r="AK40" s="37"/>
      <c r="AL40" s="38"/>
      <c r="AM40" s="36"/>
      <c r="AN40" s="36"/>
      <c r="AO40" s="36">
        <f>(AO37-AN37)/AN37</f>
        <v>0.2838169245637151</v>
      </c>
      <c r="AP40" s="36"/>
      <c r="AQ40" s="36"/>
      <c r="AR40" s="37"/>
      <c r="AS40" s="38"/>
      <c r="AT40" s="36"/>
      <c r="AU40" s="36"/>
      <c r="AV40" s="36">
        <f>(AV37-AU37)/AU37</f>
        <v>4.306149021069643E-3</v>
      </c>
      <c r="AW40" s="36"/>
      <c r="AX40" s="36"/>
      <c r="AY40" s="37"/>
      <c r="AZ40" s="38"/>
      <c r="BA40" s="36"/>
      <c r="BB40" s="36"/>
      <c r="BC40" s="36">
        <f>(BC37-BB37)/BB37</f>
        <v>-4.1345081269312932E-2</v>
      </c>
      <c r="BD40" s="36"/>
      <c r="BE40" s="36"/>
      <c r="BF40" s="37"/>
      <c r="BG40" s="38"/>
      <c r="BH40" s="36"/>
      <c r="BI40" s="36"/>
      <c r="BJ40" s="36">
        <f>(BJ37-BI37)/BI37</f>
        <v>2.9466264870169922E-3</v>
      </c>
      <c r="BK40" s="36"/>
      <c r="BL40" s="36"/>
      <c r="BM40" s="37"/>
      <c r="BN40" s="38"/>
      <c r="BO40" s="36"/>
      <c r="BP40" s="36"/>
      <c r="BQ40" s="36">
        <f>(BQ37-BP37)/BP37</f>
        <v>7.9463663327091649E-2</v>
      </c>
      <c r="BR40" s="36"/>
      <c r="BS40" s="36"/>
      <c r="BT40" s="37"/>
      <c r="BU40" s="38"/>
      <c r="BV40" s="36"/>
      <c r="BW40" s="36"/>
      <c r="BX40" s="36">
        <f>(BX37-BW37)/BW37</f>
        <v>0.31630600269733516</v>
      </c>
      <c r="BY40" s="36"/>
      <c r="BZ40" s="36"/>
      <c r="CA40" s="37"/>
      <c r="CB40" s="38"/>
      <c r="CC40" s="36"/>
      <c r="CD40" s="36"/>
      <c r="CE40" s="36">
        <f>(CE37-CD37)/CD37</f>
        <v>0.34753260144490605</v>
      </c>
      <c r="CF40" s="36"/>
      <c r="CG40" s="36"/>
      <c r="CH40" s="37"/>
    </row>
    <row r="41" spans="1:782" x14ac:dyDescent="0.25">
      <c r="B41" s="35" t="s">
        <v>40</v>
      </c>
      <c r="C41" s="36"/>
      <c r="D41" s="36"/>
      <c r="E41" s="36"/>
      <c r="F41" s="36">
        <f>(F37-D37)/D37</f>
        <v>-0.32609365707116528</v>
      </c>
      <c r="G41" s="36"/>
      <c r="H41" s="36"/>
      <c r="I41" s="37"/>
      <c r="J41" s="38"/>
      <c r="K41" s="36"/>
      <c r="L41" s="36"/>
      <c r="M41" s="36">
        <f>(M37-K37)/K37</f>
        <v>-0.36588411330684684</v>
      </c>
      <c r="N41" s="36"/>
      <c r="O41" s="36"/>
      <c r="P41" s="37"/>
      <c r="Q41" s="38"/>
      <c r="R41" s="36"/>
      <c r="S41" s="36"/>
      <c r="T41" s="36"/>
      <c r="U41" s="36"/>
      <c r="V41" s="36"/>
      <c r="W41" s="37"/>
      <c r="X41" s="38"/>
      <c r="Y41" s="36"/>
      <c r="Z41" s="36"/>
      <c r="AA41" s="36">
        <f>(AA37-Y37)/Y37</f>
        <v>-0.49402603449590798</v>
      </c>
      <c r="AB41" s="36"/>
      <c r="AC41" s="36"/>
      <c r="AD41" s="37"/>
      <c r="AE41" s="38"/>
      <c r="AF41" s="36"/>
      <c r="AG41" s="36"/>
      <c r="AH41" s="36">
        <f>(AH37-AF37)/AF37</f>
        <v>-0.24744492664793111</v>
      </c>
      <c r="AI41" s="36"/>
      <c r="AJ41" s="36"/>
      <c r="AK41" s="37"/>
      <c r="AL41" s="38"/>
      <c r="AM41" s="36"/>
      <c r="AN41" s="36"/>
      <c r="AO41" s="36">
        <f>(AO37-AM37)/AM37</f>
        <v>-0.15941563781115836</v>
      </c>
      <c r="AP41" s="36"/>
      <c r="AQ41" s="36"/>
      <c r="AR41" s="37"/>
      <c r="AS41" s="38"/>
      <c r="AT41" s="36"/>
      <c r="AU41" s="36"/>
      <c r="AV41" s="36">
        <f>(AV37-AT37)/AT37</f>
        <v>-0.21492954019970051</v>
      </c>
      <c r="AW41" s="36"/>
      <c r="AX41" s="36"/>
      <c r="AY41" s="37"/>
      <c r="AZ41" s="38"/>
      <c r="BA41" s="36"/>
      <c r="BB41" s="36"/>
      <c r="BC41" s="36">
        <f>(BC37-BA37)/BA37</f>
        <v>-0.23277301736686537</v>
      </c>
      <c r="BD41" s="36"/>
      <c r="BE41" s="36"/>
      <c r="BF41" s="37"/>
      <c r="BG41" s="38"/>
      <c r="BH41" s="36"/>
      <c r="BI41" s="36"/>
      <c r="BJ41" s="36">
        <f>(BJ37-BH37)/BH37</f>
        <v>-0.15355683097187364</v>
      </c>
      <c r="BK41" s="36"/>
      <c r="BL41" s="36"/>
      <c r="BM41" s="37"/>
      <c r="BN41" s="38"/>
      <c r="BO41" s="36"/>
      <c r="BP41" s="36"/>
      <c r="BQ41" s="36">
        <f>(BQ37-BO37)/BO37</f>
        <v>-0.34186000000000011</v>
      </c>
      <c r="BR41" s="36"/>
      <c r="BS41" s="36"/>
      <c r="BT41" s="37"/>
      <c r="BU41" s="38"/>
      <c r="BV41" s="36"/>
      <c r="BW41" s="36"/>
      <c r="BX41" s="36">
        <f>(BX37-BV37)/BV37</f>
        <v>-0.21864867601737184</v>
      </c>
      <c r="BY41" s="36"/>
      <c r="BZ41" s="36"/>
      <c r="CA41" s="37"/>
      <c r="CB41" s="38"/>
      <c r="CC41" s="36"/>
      <c r="CD41" s="36"/>
      <c r="CE41" s="36">
        <f>(CE37-CC37)/CC37</f>
        <v>-0.18131142929815053</v>
      </c>
      <c r="CF41" s="36"/>
      <c r="CG41" s="36"/>
      <c r="CH41" s="37"/>
    </row>
    <row r="42" spans="1:782" x14ac:dyDescent="0.25">
      <c r="B42" s="35" t="s">
        <v>41</v>
      </c>
      <c r="C42" s="36"/>
      <c r="D42" s="36"/>
      <c r="E42" s="36"/>
      <c r="F42" s="36"/>
      <c r="G42" s="36">
        <f>(G$37-F$37)/F$37</f>
        <v>7.5376232239924443E-2</v>
      </c>
      <c r="H42" s="36"/>
      <c r="I42" s="37"/>
      <c r="J42" s="38"/>
      <c r="K42" s="36"/>
      <c r="L42" s="36"/>
      <c r="M42" s="36"/>
      <c r="N42" s="36">
        <f>(N$37-M$37)/M$37</f>
        <v>0.28769016139030262</v>
      </c>
      <c r="O42" s="36"/>
      <c r="P42" s="37"/>
      <c r="Q42" s="38"/>
      <c r="R42" s="36"/>
      <c r="S42" s="36"/>
      <c r="T42" s="36"/>
      <c r="U42" s="36" t="e">
        <f t="shared" ref="U42" si="3">(U$37-T$37)/T$37</f>
        <v>#DIV/0!</v>
      </c>
      <c r="V42" s="36"/>
      <c r="W42" s="37"/>
      <c r="X42" s="38"/>
      <c r="Y42" s="36"/>
      <c r="Z42" s="36"/>
      <c r="AA42" s="36"/>
      <c r="AB42" s="36">
        <f>(AB37-AA37)/AA37</f>
        <v>0.49669338717983108</v>
      </c>
      <c r="AC42" s="36"/>
      <c r="AD42" s="37"/>
      <c r="AE42" s="38"/>
      <c r="AF42" s="36"/>
      <c r="AG42" s="36"/>
      <c r="AH42" s="36"/>
      <c r="AI42" s="36">
        <f>(AI37-AH37)/AH37</f>
        <v>-4.7068163224389906E-2</v>
      </c>
      <c r="AJ42" s="36"/>
      <c r="AK42" s="37"/>
      <c r="AL42" s="38"/>
      <c r="AM42" s="36"/>
      <c r="AN42" s="36"/>
      <c r="AO42" s="36"/>
      <c r="AP42" s="36">
        <f>(AP37-AO37)/AO37</f>
        <v>-5.1352838167271929E-3</v>
      </c>
      <c r="AQ42" s="36"/>
      <c r="AR42" s="37"/>
      <c r="AS42" s="38"/>
      <c r="AT42" s="36"/>
      <c r="AU42" s="36"/>
      <c r="AV42" s="36"/>
      <c r="AW42" s="42">
        <f>(AW37-AV37)/AV37</f>
        <v>-4.6034836679343723E-2</v>
      </c>
      <c r="AX42" s="42"/>
      <c r="AY42" s="42"/>
      <c r="AZ42" s="42"/>
      <c r="BA42" s="42"/>
      <c r="BB42" s="42"/>
      <c r="BC42" s="42"/>
      <c r="BD42" s="42">
        <f>(BD37-BC37)/BC37</f>
        <v>-4.8684409655236877E-2</v>
      </c>
      <c r="BE42" s="42"/>
      <c r="BF42" s="42"/>
      <c r="BG42" s="42"/>
      <c r="BH42" s="42"/>
      <c r="BI42" s="42"/>
      <c r="BJ42" s="42"/>
      <c r="BK42" s="42">
        <f>(BK37-BJ37)/BJ37</f>
        <v>-2.7509858090453827E-2</v>
      </c>
      <c r="BL42" s="42"/>
      <c r="BM42" s="42"/>
      <c r="BN42" s="42"/>
      <c r="BO42" s="42"/>
      <c r="BP42" s="42"/>
      <c r="BQ42" s="42"/>
      <c r="BR42" s="42">
        <f>(BR37-BQ37)/BQ37</f>
        <v>-4.2752494054124505E-2</v>
      </c>
      <c r="BS42" s="42"/>
      <c r="BT42" s="42"/>
      <c r="BU42" s="42"/>
      <c r="BV42" s="42"/>
      <c r="BW42" s="42"/>
      <c r="BX42" s="42"/>
      <c r="BY42" s="42">
        <f>(BY37-BX37)/BX37</f>
        <v>-5.8015753534274801E-2</v>
      </c>
      <c r="BZ42" s="42"/>
      <c r="CA42" s="42"/>
      <c r="CB42" s="42"/>
      <c r="CC42" s="42"/>
      <c r="CD42" s="42"/>
      <c r="CE42" s="42"/>
      <c r="CF42" s="42">
        <f>(CF37-CE37)/CE37</f>
        <v>-0.10734583117633106</v>
      </c>
      <c r="CG42" s="36"/>
      <c r="CH42" s="37"/>
    </row>
    <row r="43" spans="1:782" s="43" customFormat="1" x14ac:dyDescent="0.25">
      <c r="B43" s="44" t="s">
        <v>56</v>
      </c>
      <c r="C43" s="45"/>
      <c r="D43" s="45"/>
      <c r="E43" s="45"/>
      <c r="F43" s="45"/>
      <c r="G43" s="45">
        <f>(G$37-D$37)/D$37</f>
        <v>-0.27529713605860329</v>
      </c>
      <c r="H43" s="45"/>
      <c r="I43" s="46"/>
      <c r="J43" s="47"/>
      <c r="K43" s="45"/>
      <c r="L43" s="45"/>
      <c r="M43" s="45"/>
      <c r="N43" s="45">
        <f>(N$37-K$37)/K$37</f>
        <v>-0.18345521152393876</v>
      </c>
      <c r="O43" s="45"/>
      <c r="P43" s="46"/>
      <c r="Q43" s="47"/>
      <c r="R43" s="45"/>
      <c r="S43" s="45"/>
      <c r="T43" s="45"/>
      <c r="U43" s="45">
        <f t="shared" ref="U43" si="4">(U$37-R$37)/R$37</f>
        <v>-0.34121468627394147</v>
      </c>
      <c r="V43" s="45"/>
      <c r="W43" s="46"/>
      <c r="X43" s="47"/>
      <c r="Y43" s="45"/>
      <c r="Z43" s="45"/>
      <c r="AA43" s="45"/>
      <c r="AB43" s="45">
        <f t="shared" ref="AB43" si="5">(AB$37-Y$37)/Y$37</f>
        <v>-0.24271211174486948</v>
      </c>
      <c r="AC43" s="45"/>
      <c r="AD43" s="46"/>
      <c r="AE43" s="47"/>
      <c r="AF43" s="45"/>
      <c r="AG43" s="45"/>
      <c r="AH43" s="45"/>
      <c r="AI43" s="45">
        <f t="shared" ref="AI43" si="6">(AI$37-AF$37)/AF$37</f>
        <v>-0.282866311675809</v>
      </c>
      <c r="AJ43" s="45"/>
      <c r="AK43" s="46"/>
      <c r="AL43" s="47"/>
      <c r="AM43" s="45"/>
      <c r="AN43" s="45"/>
      <c r="AO43" s="45"/>
      <c r="AP43" s="45">
        <f t="shared" ref="AP43" si="7">(AP$37-AM$37)/AM$37</f>
        <v>-0.16373227708290067</v>
      </c>
      <c r="AQ43" s="45"/>
      <c r="AR43" s="45"/>
      <c r="AS43" s="45"/>
      <c r="AT43" s="45"/>
      <c r="AU43" s="45"/>
      <c r="AV43" s="45"/>
      <c r="AW43" s="45">
        <f t="shared" ref="AW43" si="8">(AW$37-AT$37)/AT$37</f>
        <v>-0.25107013059838457</v>
      </c>
      <c r="AX43" s="45"/>
      <c r="AY43" s="45"/>
      <c r="AZ43" s="45"/>
      <c r="BA43" s="45"/>
      <c r="BB43" s="45"/>
      <c r="BC43" s="45"/>
      <c r="BD43" s="45">
        <f t="shared" ref="BD43" si="9">(BD$37-BA$37)/BA$37</f>
        <v>-0.27012501008792822</v>
      </c>
      <c r="BE43" s="45"/>
      <c r="BF43" s="45"/>
      <c r="BG43" s="45"/>
      <c r="BH43" s="45"/>
      <c r="BI43" s="45"/>
      <c r="BJ43" s="45"/>
      <c r="BK43" s="45">
        <f t="shared" ref="BK43" si="10">(BK$37-BH$37)/BH$37</f>
        <v>-0.17684236243347143</v>
      </c>
      <c r="BL43" s="45"/>
      <c r="BM43" s="45"/>
      <c r="BN43" s="45"/>
      <c r="BO43" s="45"/>
      <c r="BP43" s="45"/>
      <c r="BQ43" s="45"/>
      <c r="BR43" s="45">
        <f t="shared" ref="BR43" si="11">(BR$37-BO$37)/BO$37</f>
        <v>-0.36999712643678156</v>
      </c>
      <c r="BS43" s="45"/>
      <c r="BT43" s="45"/>
      <c r="BU43" s="45"/>
      <c r="BV43" s="45"/>
      <c r="BW43" s="45"/>
      <c r="BX43" s="45"/>
      <c r="BY43" s="45">
        <f t="shared" ref="BY43" si="12">(BY$37-BV$37)/BV$37</f>
        <v>-0.26397936185322729</v>
      </c>
      <c r="BZ43" s="45"/>
      <c r="CA43" s="45"/>
      <c r="CB43" s="45"/>
      <c r="CC43" s="45"/>
      <c r="CD43" s="45"/>
      <c r="CE43" s="45"/>
      <c r="CF43" s="45">
        <f t="shared" ref="CF43" si="13">(CF$37-CC$37)/CC$37</f>
        <v>-0.26919423439470302</v>
      </c>
      <c r="CG43" s="45"/>
      <c r="CH43" s="46"/>
    </row>
    <row r="44" spans="1:782" x14ac:dyDescent="0.25">
      <c r="B44" s="35" t="s">
        <v>42</v>
      </c>
      <c r="C44" s="36"/>
      <c r="D44" s="36"/>
      <c r="E44" s="36"/>
      <c r="F44" s="36"/>
      <c r="G44" s="36"/>
      <c r="H44" s="36">
        <f>(H37-G37)/G37</f>
        <v>7.0035150496098389E-2</v>
      </c>
      <c r="I44" s="52"/>
      <c r="J44" s="53"/>
      <c r="K44" s="36"/>
      <c r="L44" s="36"/>
      <c r="M44" s="36"/>
      <c r="N44" s="36"/>
      <c r="O44" s="36">
        <f>(O37-N37)/N37</f>
        <v>-7.097404233870945E-2</v>
      </c>
      <c r="P44" s="37"/>
      <c r="Q44" s="38"/>
      <c r="R44" s="36"/>
      <c r="S44" s="36"/>
      <c r="T44" s="36"/>
      <c r="U44" s="36"/>
      <c r="V44" s="36">
        <f>(V37-U37)/U37</f>
        <v>0.16878338742030408</v>
      </c>
      <c r="W44" s="37"/>
      <c r="X44" s="38"/>
      <c r="Y44" s="36"/>
      <c r="Z44" s="36"/>
      <c r="AA44" s="36"/>
      <c r="AB44" s="36"/>
      <c r="AC44" s="36">
        <f>(AC37-AB37)/AB37</f>
        <v>-0.12098030433785208</v>
      </c>
      <c r="AD44" s="37"/>
      <c r="AE44" s="38"/>
      <c r="AF44" s="36"/>
      <c r="AG44" s="36"/>
      <c r="AH44" s="36"/>
      <c r="AI44" s="36"/>
      <c r="AJ44" s="36">
        <f>(AJ37-AI37)/AI37</f>
        <v>-4.173499676460822E-2</v>
      </c>
      <c r="AK44" s="37"/>
      <c r="AL44" s="38"/>
      <c r="AM44" s="36"/>
      <c r="AN44" s="36"/>
      <c r="AO44" s="36"/>
      <c r="AP44" s="36"/>
      <c r="AQ44" s="36" t="e">
        <f t="shared" ref="AQ44" si="14">(AQ39-AP39)/AP39</f>
        <v>#DIV/0!</v>
      </c>
      <c r="AR44" s="37"/>
      <c r="AS44" s="38"/>
      <c r="AT44" s="36"/>
      <c r="AU44" s="36"/>
      <c r="AV44" s="36"/>
      <c r="AW44" s="36"/>
      <c r="AX44" s="36" t="e">
        <f t="shared" ref="AX44" si="15">(AX39-AW39)/AW39</f>
        <v>#DIV/0!</v>
      </c>
      <c r="AY44" s="37"/>
      <c r="AZ44" s="38"/>
      <c r="BA44" s="36"/>
      <c r="BB44" s="36"/>
      <c r="BC44" s="36"/>
      <c r="BD44" s="36"/>
      <c r="BE44" s="36" t="e">
        <f t="shared" ref="BE44" si="16">(BE39-BD39)/BD39</f>
        <v>#DIV/0!</v>
      </c>
      <c r="BF44" s="37"/>
      <c r="BG44" s="38"/>
      <c r="BH44" s="36"/>
      <c r="BI44" s="36"/>
      <c r="BJ44" s="36"/>
      <c r="BK44" s="36"/>
      <c r="BL44" s="36" t="e">
        <f t="shared" ref="BL44" si="17">(BL39-BK39)/BK39</f>
        <v>#DIV/0!</v>
      </c>
      <c r="BM44" s="37"/>
      <c r="BN44" s="38"/>
      <c r="BO44" s="36"/>
      <c r="BP44" s="36"/>
      <c r="BQ44" s="36"/>
      <c r="BR44" s="36"/>
      <c r="BS44" s="36" t="e">
        <f t="shared" ref="BS44" si="18">(BS39-BR39)/BR39</f>
        <v>#DIV/0!</v>
      </c>
      <c r="BT44" s="37"/>
      <c r="BU44" s="38"/>
      <c r="BV44" s="36"/>
      <c r="BW44" s="36"/>
      <c r="BX44" s="36"/>
      <c r="BY44" s="36"/>
      <c r="BZ44" s="36" t="e">
        <f t="shared" ref="BZ44" si="19">(BZ39-BY39)/BY39</f>
        <v>#DIV/0!</v>
      </c>
      <c r="CA44" s="37"/>
      <c r="CB44" s="38"/>
      <c r="CC44" s="36"/>
      <c r="CD44" s="36"/>
      <c r="CE44" s="36"/>
      <c r="CF44" s="36"/>
      <c r="CG44" s="36" t="e">
        <f t="shared" ref="CG44" si="20">(CG39-CF39)/CF39</f>
        <v>#DIV/0!</v>
      </c>
      <c r="CH44" s="37"/>
      <c r="CJ44" s="54"/>
    </row>
    <row r="45" spans="1:782" x14ac:dyDescent="0.25">
      <c r="C45" s="14"/>
      <c r="D45" s="15"/>
      <c r="E45" s="14"/>
      <c r="F45" s="14"/>
      <c r="G45" s="14"/>
      <c r="H45" s="14"/>
      <c r="I45" s="14"/>
      <c r="J45" s="14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4"/>
      <c r="AU45" s="15"/>
      <c r="AV45" s="15"/>
      <c r="AW45" s="15"/>
      <c r="AX45" s="15"/>
      <c r="AY45" s="15"/>
      <c r="BC45" s="29"/>
      <c r="BD45" s="29"/>
      <c r="BE45" s="29"/>
      <c r="BF45" s="29"/>
    </row>
    <row r="46" spans="1:782" x14ac:dyDescent="0.25">
      <c r="B46" s="59" t="s">
        <v>57</v>
      </c>
      <c r="C46" s="59"/>
      <c r="D46" s="59"/>
      <c r="E46" s="59"/>
      <c r="F46" s="14"/>
      <c r="G46" s="14"/>
      <c r="H46" s="14"/>
      <c r="I46" s="14"/>
      <c r="J46" s="14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4"/>
      <c r="AU46" s="15"/>
      <c r="AV46" s="15"/>
      <c r="AW46" s="15"/>
      <c r="AX46" s="15"/>
      <c r="AY46" s="15"/>
    </row>
    <row r="47" spans="1:782" x14ac:dyDescent="0.25">
      <c r="B47" s="60" t="s">
        <v>58</v>
      </c>
      <c r="C47" s="60"/>
      <c r="D47" s="60"/>
      <c r="E47" s="60"/>
      <c r="F47" s="14"/>
      <c r="G47" s="14"/>
      <c r="H47" s="14"/>
      <c r="I47" s="14"/>
      <c r="J47" s="14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4"/>
      <c r="AU47" s="15"/>
      <c r="AV47" s="15"/>
      <c r="AW47" s="15"/>
      <c r="AX47" s="15"/>
      <c r="AY47" s="15"/>
    </row>
    <row r="48" spans="1:782" x14ac:dyDescent="0.25">
      <c r="B48" s="55" t="s">
        <v>59</v>
      </c>
      <c r="C48" s="55"/>
      <c r="D48" s="55"/>
      <c r="E48" s="55"/>
      <c r="F48" s="14"/>
      <c r="G48" s="14"/>
      <c r="H48" s="14"/>
      <c r="I48" s="14"/>
      <c r="J48" s="14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4"/>
      <c r="AU48" s="15"/>
      <c r="AV48" s="15"/>
      <c r="AW48" s="15"/>
      <c r="AX48" s="15"/>
      <c r="AY48" s="15"/>
    </row>
    <row r="49" spans="3:51" x14ac:dyDescent="0.25">
      <c r="C49" s="14"/>
      <c r="D49" s="15"/>
      <c r="E49" s="14"/>
      <c r="F49" s="14"/>
      <c r="G49" s="14"/>
      <c r="H49" s="14"/>
      <c r="I49" s="14"/>
      <c r="J49" s="14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4"/>
      <c r="AU49" s="15"/>
      <c r="AV49" s="15"/>
      <c r="AW49" s="15"/>
      <c r="AX49" s="15"/>
      <c r="AY49" s="15"/>
    </row>
    <row r="50" spans="3:51" x14ac:dyDescent="0.25">
      <c r="C50" s="14"/>
      <c r="D50" s="15"/>
      <c r="E50" s="14"/>
      <c r="F50" s="14"/>
      <c r="G50" s="14"/>
      <c r="H50" s="14"/>
      <c r="I50" s="14"/>
      <c r="J50" s="14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4"/>
      <c r="AU50" s="15"/>
      <c r="AV50" s="15"/>
      <c r="AW50" s="15"/>
      <c r="AX50" s="15"/>
      <c r="AY50" s="15"/>
    </row>
    <row r="51" spans="3:51" x14ac:dyDescent="0.25">
      <c r="C51" s="14"/>
      <c r="D51" s="15"/>
      <c r="E51" s="14"/>
      <c r="F51" s="14"/>
      <c r="G51" s="14"/>
      <c r="H51" s="14"/>
      <c r="I51" s="14"/>
      <c r="J51" s="14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4"/>
      <c r="AU51" s="15"/>
      <c r="AV51" s="15"/>
      <c r="AW51" s="15"/>
      <c r="AX51" s="15"/>
      <c r="AY51" s="15"/>
    </row>
    <row r="52" spans="3:51" x14ac:dyDescent="0.25">
      <c r="C52" s="14"/>
      <c r="D52" s="15"/>
      <c r="E52" s="14"/>
      <c r="F52" s="14"/>
      <c r="G52" s="14"/>
      <c r="H52" s="14"/>
      <c r="I52" s="14"/>
      <c r="J52" s="14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4"/>
      <c r="AU52" s="15"/>
      <c r="AV52" s="15"/>
      <c r="AW52" s="15"/>
      <c r="AX52" s="15"/>
      <c r="AY52" s="15"/>
    </row>
    <row r="53" spans="3:51" x14ac:dyDescent="0.25">
      <c r="C53" s="14"/>
      <c r="D53" s="15"/>
      <c r="E53" s="14"/>
      <c r="F53" s="14"/>
      <c r="G53" s="14"/>
      <c r="H53" s="14"/>
      <c r="I53" s="14"/>
      <c r="J53" s="14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4"/>
      <c r="AU53" s="15"/>
      <c r="AV53" s="15"/>
      <c r="AW53" s="15"/>
      <c r="AX53" s="15"/>
      <c r="AY53" s="15"/>
    </row>
    <row r="54" spans="3:51" x14ac:dyDescent="0.25">
      <c r="C54" s="14"/>
      <c r="D54" s="15"/>
      <c r="E54" s="14"/>
      <c r="F54" s="14"/>
      <c r="G54" s="14"/>
      <c r="H54" s="14"/>
      <c r="I54" s="14"/>
      <c r="J54" s="14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4"/>
      <c r="AU54" s="15"/>
      <c r="AV54" s="15"/>
      <c r="AW54" s="15"/>
      <c r="AX54" s="15"/>
      <c r="AY54" s="15"/>
    </row>
    <row r="55" spans="3:51" x14ac:dyDescent="0.25">
      <c r="C55" s="14"/>
      <c r="D55" s="15"/>
      <c r="E55" s="14"/>
      <c r="F55" s="14"/>
      <c r="G55" s="14"/>
      <c r="H55" s="14"/>
      <c r="I55" s="14"/>
      <c r="J55" s="14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4"/>
      <c r="AU55" s="15"/>
      <c r="AV55" s="15"/>
      <c r="AW55" s="15"/>
      <c r="AX55" s="15"/>
      <c r="AY55" s="15"/>
    </row>
    <row r="56" spans="3:51" x14ac:dyDescent="0.25">
      <c r="C56" s="14"/>
      <c r="D56" s="15"/>
      <c r="E56" s="14"/>
      <c r="F56" s="14"/>
      <c r="G56" s="14"/>
      <c r="H56" s="14"/>
      <c r="I56" s="14"/>
      <c r="J56" s="14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4"/>
      <c r="AU56" s="15"/>
      <c r="AV56" s="15"/>
      <c r="AW56" s="15"/>
      <c r="AX56" s="15"/>
      <c r="AY56" s="15"/>
    </row>
    <row r="57" spans="3:51" x14ac:dyDescent="0.25">
      <c r="C57" s="14"/>
      <c r="D57" s="15"/>
      <c r="E57" s="14"/>
      <c r="F57" s="14"/>
      <c r="G57" s="14"/>
      <c r="H57" s="14"/>
      <c r="I57" s="14"/>
      <c r="J57" s="14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4"/>
      <c r="AU57" s="15"/>
      <c r="AV57" s="15"/>
      <c r="AW57" s="15"/>
      <c r="AX57" s="15"/>
      <c r="AY57" s="15"/>
    </row>
    <row r="58" spans="3:51" x14ac:dyDescent="0.25">
      <c r="C58" s="14"/>
      <c r="D58" s="15"/>
      <c r="E58" s="14"/>
      <c r="F58" s="14"/>
      <c r="G58" s="14"/>
      <c r="H58" s="14"/>
      <c r="I58" s="14"/>
      <c r="J58" s="14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4"/>
      <c r="AU58" s="15"/>
      <c r="AV58" s="15"/>
      <c r="AW58" s="15"/>
      <c r="AX58" s="15"/>
      <c r="AY58" s="15"/>
    </row>
  </sheetData>
  <mergeCells count="15">
    <mergeCell ref="B48:E48"/>
    <mergeCell ref="BN2:BT2"/>
    <mergeCell ref="BU2:CA2"/>
    <mergeCell ref="CB2:CH2"/>
    <mergeCell ref="AE2:AK2"/>
    <mergeCell ref="AL2:AR2"/>
    <mergeCell ref="AS2:AY2"/>
    <mergeCell ref="AZ2:BF2"/>
    <mergeCell ref="BG2:BM2"/>
    <mergeCell ref="X2:AD2"/>
    <mergeCell ref="B46:E46"/>
    <mergeCell ref="B47:E47"/>
    <mergeCell ref="C2:I2"/>
    <mergeCell ref="J2:P2"/>
    <mergeCell ref="Q2:W2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IDM 18-23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MSUREDA</cp:lastModifiedBy>
  <dcterms:created xsi:type="dcterms:W3CDTF">2020-11-20T10:53:43Z</dcterms:created>
  <dcterms:modified xsi:type="dcterms:W3CDTF">2023-06-06T06:31:51Z</dcterms:modified>
</cp:coreProperties>
</file>